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herrera\OneDrive - mineducacion.gov.co\Doc\CONTABILIDAD\2018\CUENTAS\Mayo\540418\"/>
    </mc:Choice>
  </mc:AlternateContent>
  <xr:revisionPtr revIDLastSave="391" documentId="8_{3024FF75-4A17-4D1C-B68A-BD8F4B77184F}" xr6:coauthVersionLast="33" xr6:coauthVersionMax="33" xr10:uidLastSave="{D65363DF-5F47-4712-A378-187C8980229A}"/>
  <bookViews>
    <workbookView xWindow="0" yWindow="0" windowWidth="20460" windowHeight="5805" xr2:uid="{00000000-000D-0000-FFFF-FFFF00000000}"/>
  </bookViews>
  <sheets>
    <sheet name="SGP JUNIO 2018" sheetId="1" r:id="rId1"/>
  </sheets>
  <externalReferences>
    <externalReference r:id="rId2"/>
    <externalReference r:id="rId3"/>
    <externalReference r:id="rId4"/>
  </externalReferences>
  <definedNames>
    <definedName name="_DIS2008" localSheetId="0">#REF!</definedName>
    <definedName name="_DIS2008">#REF!</definedName>
    <definedName name="_xlnm._FilterDatabase" localSheetId="0" hidden="1">'SGP JUNIO 2018'!$A$2:$CD$1138</definedName>
    <definedName name="_xlnm.Print_Area" localSheetId="0">'SGP JUNIO 2018'!$A$1:$BG$2</definedName>
    <definedName name="CERTIAPORTES12008" localSheetId="0">#REF!</definedName>
    <definedName name="CERTIAPORTES12008">#REF!</definedName>
    <definedName name="CERTIAPORTES22008" localSheetId="0">#REF!</definedName>
    <definedName name="CERTIAPORTES22008">#REF!</definedName>
    <definedName name="CERTICALIDAD2008" localSheetId="0">#REF!</definedName>
    <definedName name="CERTICALIDAD2008">#REF!</definedName>
    <definedName name="CERTIDEUDA2008" localSheetId="0">#REF!</definedName>
    <definedName name="CERTIDEUDA2008">#REF!</definedName>
    <definedName name="CERTIFICADOS2008" localSheetId="0">#REF!</definedName>
    <definedName name="CERTIFICADOS2008">#REF!</definedName>
    <definedName name="CERTISERVICIOS2008" localSheetId="0">#REF!</definedName>
    <definedName name="CERTISERVICIOS2008">#REF!</definedName>
    <definedName name="DEPTOS2008" localSheetId="0">'SGP JUNIO 2018'!#REF!</definedName>
    <definedName name="DEPTOSAPORTES12008" localSheetId="0">'SGP JUNIO 2018'!#REF!</definedName>
    <definedName name="DEPTOSAPORTES22008" localSheetId="0">'SGP JUNIO 2018'!#REF!</definedName>
    <definedName name="DEPTOSDEUDA2008" localSheetId="0">'SGP JUNIO 2018'!#REF!</definedName>
    <definedName name="DEPTOSPENSION2008" localSheetId="0">'SGP JUNIO 2018'!#REF!</definedName>
    <definedName name="DEPTOSSERVICIOS2008" localSheetId="0">'SGP JUNIO 2018'!#REF!</definedName>
    <definedName name="DISAPORTES12008" localSheetId="0">#REF!</definedName>
    <definedName name="DISAPORTES12008">#REF!</definedName>
    <definedName name="DISAPORTES22008" localSheetId="0">#REF!</definedName>
    <definedName name="DISAPORTES22008">#REF!</definedName>
    <definedName name="DISCALIDAD2008" localSheetId="0">#REF!</definedName>
    <definedName name="DISCALIDAD2008">#REF!</definedName>
    <definedName name="DISDEUDA2008" localSheetId="0">#REF!</definedName>
    <definedName name="DISDEUDA2008">#REF!</definedName>
    <definedName name="DISPENSION2008" localSheetId="0">#REF!</definedName>
    <definedName name="DISPENSION2008">#REF!</definedName>
    <definedName name="DISSERVICIOS2008" localSheetId="0">#REF!</definedName>
    <definedName name="DISSERVICIOS2008">#REF!</definedName>
    <definedName name="nit" localSheetId="0">'SGP JUNIO 2018'!#REF!</definedName>
    <definedName name="nit">#REF!</definedName>
    <definedName name="NOCERTICALIDAD" localSheetId="0">#REF!</definedName>
    <definedName name="NOCERTICALIDAD">#REF!</definedName>
    <definedName name="NOCERTIFICADOS2008" localSheetId="0">#REF!</definedName>
    <definedName name="NOCERTIFICADOS2008">#REF!</definedName>
  </definedNames>
  <calcPr calcId="179017"/>
  <fileRecoveryPr autoRecover="0"/>
</workbook>
</file>

<file path=xl/calcChain.xml><?xml version="1.0" encoding="utf-8"?>
<calcChain xmlns="http://schemas.openxmlformats.org/spreadsheetml/2006/main">
  <c r="BC181" i="1" l="1"/>
  <c r="BC245" i="1"/>
  <c r="BC328" i="1"/>
  <c r="BC477" i="1"/>
  <c r="BC610" i="1"/>
  <c r="BC644" i="1"/>
  <c r="BC706" i="1"/>
  <c r="BC730" i="1"/>
  <c r="BC743" i="1"/>
  <c r="BC861" i="1"/>
  <c r="BC1003" i="1"/>
  <c r="BC1042" i="1"/>
  <c r="BC1049" i="1"/>
  <c r="BE11" i="1"/>
  <c r="BE13" i="1"/>
  <c r="BE14" i="1"/>
  <c r="BE15" i="1"/>
  <c r="BE18" i="1"/>
  <c r="BE20" i="1"/>
  <c r="BE24" i="1"/>
  <c r="BE29" i="1"/>
  <c r="BE32" i="1"/>
  <c r="BE33" i="1"/>
  <c r="BE36" i="1"/>
  <c r="BE37" i="1"/>
  <c r="BE38" i="1"/>
  <c r="BE39" i="1"/>
  <c r="BE40" i="1"/>
  <c r="BE41" i="1"/>
  <c r="BE44" i="1"/>
  <c r="BE46" i="1"/>
  <c r="BE51" i="1"/>
  <c r="BE56" i="1"/>
  <c r="BE60" i="1"/>
  <c r="BE68" i="1"/>
  <c r="BE76" i="1"/>
  <c r="BE77" i="1"/>
  <c r="BE78" i="1"/>
  <c r="BE79" i="1"/>
  <c r="BE80" i="1"/>
  <c r="BE86" i="1"/>
  <c r="BE87" i="1"/>
  <c r="BE89" i="1"/>
  <c r="BE90" i="1"/>
  <c r="BE91" i="1"/>
  <c r="BE101" i="1"/>
  <c r="BE102" i="1"/>
  <c r="BE107" i="1"/>
  <c r="BE111" i="1"/>
  <c r="BE112" i="1"/>
  <c r="BE118" i="1"/>
  <c r="BE119" i="1"/>
  <c r="BE120" i="1"/>
  <c r="BE124" i="1"/>
  <c r="BE125" i="1"/>
  <c r="BE130" i="1"/>
  <c r="BE131" i="1"/>
  <c r="BE134" i="1"/>
  <c r="BE135" i="1"/>
  <c r="BE136" i="1"/>
  <c r="BE138" i="1"/>
  <c r="BE142" i="1"/>
  <c r="BE146" i="1"/>
  <c r="BE148" i="1"/>
  <c r="BE154" i="1"/>
  <c r="BE159" i="1"/>
  <c r="BE166" i="1"/>
  <c r="BE167" i="1"/>
  <c r="BE172" i="1"/>
  <c r="BE173" i="1"/>
  <c r="BE174" i="1"/>
  <c r="BE175" i="1"/>
  <c r="BE177" i="1"/>
  <c r="BE180" i="1"/>
  <c r="BE181" i="1"/>
  <c r="BE183" i="1"/>
  <c r="BE184" i="1"/>
  <c r="BE190" i="1"/>
  <c r="BE191" i="1"/>
  <c r="BE192" i="1"/>
  <c r="BE193" i="1"/>
  <c r="BE194" i="1"/>
  <c r="BE195" i="1"/>
  <c r="BE196" i="1"/>
  <c r="BE197" i="1"/>
  <c r="BE198" i="1"/>
  <c r="BE201" i="1"/>
  <c r="BE206" i="1"/>
  <c r="BE208" i="1"/>
  <c r="BE210" i="1"/>
  <c r="BE211" i="1"/>
  <c r="BE217" i="1"/>
  <c r="BE219" i="1"/>
  <c r="BE220" i="1"/>
  <c r="BE223" i="1"/>
  <c r="BE228" i="1"/>
  <c r="BE231" i="1"/>
  <c r="BE239" i="1"/>
  <c r="BE241" i="1"/>
  <c r="BE244" i="1"/>
  <c r="BE245" i="1"/>
  <c r="BE248" i="1"/>
  <c r="BE249" i="1"/>
  <c r="BE250" i="1"/>
  <c r="BE255" i="1"/>
  <c r="BE256" i="1"/>
  <c r="BE261" i="1"/>
  <c r="BE262" i="1"/>
  <c r="BE264" i="1"/>
  <c r="BE265" i="1"/>
  <c r="BE266" i="1"/>
  <c r="BE269" i="1"/>
  <c r="BE276" i="1"/>
  <c r="BE279" i="1"/>
  <c r="BE280" i="1"/>
  <c r="BE281" i="1"/>
  <c r="BE282" i="1"/>
  <c r="BE283" i="1"/>
  <c r="BE284" i="1"/>
  <c r="BE285" i="1"/>
  <c r="BE286" i="1"/>
  <c r="BE287" i="1"/>
  <c r="BE288" i="1"/>
  <c r="BE289" i="1"/>
  <c r="BE290" i="1"/>
  <c r="BE291" i="1"/>
  <c r="BE292" i="1"/>
  <c r="BE294" i="1"/>
  <c r="BE295" i="1"/>
  <c r="BE296" i="1"/>
  <c r="BE297" i="1"/>
  <c r="BE298" i="1"/>
  <c r="BE299" i="1"/>
  <c r="BE300" i="1"/>
  <c r="BE301" i="1"/>
  <c r="BE302" i="1"/>
  <c r="BE303" i="1"/>
  <c r="BE304" i="1"/>
  <c r="BE305" i="1"/>
  <c r="BE306" i="1"/>
  <c r="BE307" i="1"/>
  <c r="BE308" i="1"/>
  <c r="BE309" i="1"/>
  <c r="BE310" i="1"/>
  <c r="BE311" i="1"/>
  <c r="BE325" i="1"/>
  <c r="BE326" i="1"/>
  <c r="BE327" i="1"/>
  <c r="BE328" i="1"/>
  <c r="BE338" i="1"/>
  <c r="BE339" i="1"/>
  <c r="BE345" i="1"/>
  <c r="BE347" i="1"/>
  <c r="BE350" i="1"/>
  <c r="BE352" i="1"/>
  <c r="BE354" i="1"/>
  <c r="BE357" i="1"/>
  <c r="BE363" i="1"/>
  <c r="BE364" i="1"/>
  <c r="BE365" i="1"/>
  <c r="BE368" i="1"/>
  <c r="BE370" i="1"/>
  <c r="BE373" i="1"/>
  <c r="BE380" i="1"/>
  <c r="BE381" i="1"/>
  <c r="BE383" i="1"/>
  <c r="BE385" i="1"/>
  <c r="BE386" i="1"/>
  <c r="BE391" i="1"/>
  <c r="BE393" i="1"/>
  <c r="BE394" i="1"/>
  <c r="BE396" i="1"/>
  <c r="BE398" i="1"/>
  <c r="BE400" i="1"/>
  <c r="BE405" i="1"/>
  <c r="BE406" i="1"/>
  <c r="BE408" i="1"/>
  <c r="BE410" i="1"/>
  <c r="BE416" i="1"/>
  <c r="BE417" i="1"/>
  <c r="BE418" i="1"/>
  <c r="BE424" i="1"/>
  <c r="BE429" i="1"/>
  <c r="BE431" i="1"/>
  <c r="BE433" i="1"/>
  <c r="BE434" i="1"/>
  <c r="BE436" i="1"/>
  <c r="BE439" i="1"/>
  <c r="BE441" i="1"/>
  <c r="BE442" i="1"/>
  <c r="BE446" i="1"/>
  <c r="BE448" i="1"/>
  <c r="BE452" i="1"/>
  <c r="BE453" i="1"/>
  <c r="BE456" i="1"/>
  <c r="BE461" i="1"/>
  <c r="BE463" i="1"/>
  <c r="BE467" i="1"/>
  <c r="BE474" i="1"/>
  <c r="BE477" i="1"/>
  <c r="BE479" i="1"/>
  <c r="BE483" i="1"/>
  <c r="BE487" i="1"/>
  <c r="BE488" i="1"/>
  <c r="BE492" i="1"/>
  <c r="BE500" i="1"/>
  <c r="BE501" i="1"/>
  <c r="BE505" i="1"/>
  <c r="BE506" i="1"/>
  <c r="BE508" i="1"/>
  <c r="BE510" i="1"/>
  <c r="BE513" i="1"/>
  <c r="BE518" i="1"/>
  <c r="BE522" i="1"/>
  <c r="BE525" i="1"/>
  <c r="BE526" i="1"/>
  <c r="BE529" i="1"/>
  <c r="BE531" i="1"/>
  <c r="BE532" i="1"/>
  <c r="BE539" i="1"/>
  <c r="BE540" i="1"/>
  <c r="BE542" i="1"/>
  <c r="BE545" i="1"/>
  <c r="BE546" i="1"/>
  <c r="BE548" i="1"/>
  <c r="BE550" i="1"/>
  <c r="BE559" i="1"/>
  <c r="BE560" i="1"/>
  <c r="BE566" i="1"/>
  <c r="BE567" i="1"/>
  <c r="BE573" i="1"/>
  <c r="BE574" i="1"/>
  <c r="BE575" i="1"/>
  <c r="BE576" i="1"/>
  <c r="BE577" i="1"/>
  <c r="BE581" i="1"/>
  <c r="BE582" i="1"/>
  <c r="BE583" i="1"/>
  <c r="BE584" i="1"/>
  <c r="BE585" i="1"/>
  <c r="BE586" i="1"/>
  <c r="BE588" i="1"/>
  <c r="BE589" i="1"/>
  <c r="BE590" i="1"/>
  <c r="BE591" i="1"/>
  <c r="BE592" i="1"/>
  <c r="BE595" i="1"/>
  <c r="BE597" i="1"/>
  <c r="BE600" i="1"/>
  <c r="BE604" i="1"/>
  <c r="BE610" i="1"/>
  <c r="BE611" i="1"/>
  <c r="BE614" i="1"/>
  <c r="BE615" i="1"/>
  <c r="BE618" i="1"/>
  <c r="BE621" i="1"/>
  <c r="BE622" i="1"/>
  <c r="BE630" i="1"/>
  <c r="BE631" i="1"/>
  <c r="BE637" i="1"/>
  <c r="BE638" i="1"/>
  <c r="BE639" i="1"/>
  <c r="BE640" i="1"/>
  <c r="BE641" i="1"/>
  <c r="BE642" i="1"/>
  <c r="BE643" i="1"/>
  <c r="BE644" i="1"/>
  <c r="BE645" i="1"/>
  <c r="BE646" i="1"/>
  <c r="BE649" i="1"/>
  <c r="BE650" i="1"/>
  <c r="BE653" i="1"/>
  <c r="BE654" i="1"/>
  <c r="BE660" i="1"/>
  <c r="BE662" i="1"/>
  <c r="BE663" i="1"/>
  <c r="BE667" i="1"/>
  <c r="BE668" i="1"/>
  <c r="BE674" i="1"/>
  <c r="BE676" i="1"/>
  <c r="BE677" i="1"/>
  <c r="BE678" i="1"/>
  <c r="BE681" i="1"/>
  <c r="BE682" i="1"/>
  <c r="BE684" i="1"/>
  <c r="BE688" i="1"/>
  <c r="BE690" i="1"/>
  <c r="BE691" i="1"/>
  <c r="BE692" i="1"/>
  <c r="BE697" i="1"/>
  <c r="BE702" i="1"/>
  <c r="BE706" i="1"/>
  <c r="BE707" i="1"/>
  <c r="BE712" i="1"/>
  <c r="BE717" i="1"/>
  <c r="BE720" i="1"/>
  <c r="BE723" i="1"/>
  <c r="BE726" i="1"/>
  <c r="BE727" i="1"/>
  <c r="BE730" i="1"/>
  <c r="BE737" i="1"/>
  <c r="BE740" i="1"/>
  <c r="BE743" i="1"/>
  <c r="BE745" i="1"/>
  <c r="BE750" i="1"/>
  <c r="BE751" i="1"/>
  <c r="BE754" i="1"/>
  <c r="BE755" i="1"/>
  <c r="BE759" i="1"/>
  <c r="BE764" i="1"/>
  <c r="BE766" i="1"/>
  <c r="BE768" i="1"/>
  <c r="BE769" i="1"/>
  <c r="BE770" i="1"/>
  <c r="BE772" i="1"/>
  <c r="BE773" i="1"/>
  <c r="BE775" i="1"/>
  <c r="BE779" i="1"/>
  <c r="BE784" i="1"/>
  <c r="BE785" i="1"/>
  <c r="BE786" i="1"/>
  <c r="BE787" i="1"/>
  <c r="BE790" i="1"/>
  <c r="BE791" i="1"/>
  <c r="BE792" i="1"/>
  <c r="BE797" i="1"/>
  <c r="BE798" i="1"/>
  <c r="BE800" i="1"/>
  <c r="BE813" i="1"/>
  <c r="BE814" i="1"/>
  <c r="BE816" i="1"/>
  <c r="BE818" i="1"/>
  <c r="BE823" i="1"/>
  <c r="BE827" i="1"/>
  <c r="BE834" i="1"/>
  <c r="BE837" i="1"/>
  <c r="BE843" i="1"/>
  <c r="BE844" i="1"/>
  <c r="BE849" i="1"/>
  <c r="BE850" i="1"/>
  <c r="BE851" i="1"/>
  <c r="BE855" i="1"/>
  <c r="BE857" i="1"/>
  <c r="BE859" i="1"/>
  <c r="BE861" i="1"/>
  <c r="BE864" i="1"/>
  <c r="BE866" i="1"/>
  <c r="BE867" i="1"/>
  <c r="BE868" i="1"/>
  <c r="BE869" i="1"/>
  <c r="BE870" i="1"/>
  <c r="BE872" i="1"/>
  <c r="BE873" i="1"/>
  <c r="BE876" i="1"/>
  <c r="BE879" i="1"/>
  <c r="BE884" i="1"/>
  <c r="BE897" i="1"/>
  <c r="BE898" i="1"/>
  <c r="BE909" i="1"/>
  <c r="BE910" i="1"/>
  <c r="BE917" i="1"/>
  <c r="BE920" i="1"/>
  <c r="BE924" i="1"/>
  <c r="BE927" i="1"/>
  <c r="BE928" i="1"/>
  <c r="BE934" i="1"/>
  <c r="BE935" i="1"/>
  <c r="BE938" i="1"/>
  <c r="BE942" i="1"/>
  <c r="BE945" i="1"/>
  <c r="BE946" i="1"/>
  <c r="BE948" i="1"/>
  <c r="BE951" i="1"/>
  <c r="BE955" i="1"/>
  <c r="BE958" i="1"/>
  <c r="BE968" i="1"/>
  <c r="BE970" i="1"/>
  <c r="BE971" i="1"/>
  <c r="BE972" i="1"/>
  <c r="BE973" i="1"/>
  <c r="BE976" i="1"/>
  <c r="BE981" i="1"/>
  <c r="BE982" i="1"/>
  <c r="BE987" i="1"/>
  <c r="BE990" i="1"/>
  <c r="BE992" i="1"/>
  <c r="BE994" i="1"/>
  <c r="BE995" i="1"/>
  <c r="BE996" i="1"/>
  <c r="BE1002" i="1"/>
  <c r="BE1003" i="1"/>
  <c r="BE1009" i="1"/>
  <c r="BE1011" i="1"/>
  <c r="BE1013" i="1"/>
  <c r="BE1018" i="1"/>
  <c r="BE1021" i="1"/>
  <c r="BE1023" i="1"/>
  <c r="BE1027" i="1"/>
  <c r="BE1032" i="1"/>
  <c r="BE1033" i="1"/>
  <c r="BE1041" i="1"/>
  <c r="BE1042" i="1"/>
  <c r="BE1049" i="1"/>
  <c r="BE1051" i="1"/>
  <c r="BE1054" i="1"/>
  <c r="BE1055" i="1"/>
  <c r="BE1056" i="1"/>
  <c r="BE1061" i="1"/>
  <c r="BE1062" i="1"/>
  <c r="BE1063" i="1"/>
  <c r="BE1066" i="1"/>
  <c r="BE1067" i="1"/>
  <c r="BE1068" i="1"/>
  <c r="BE1069" i="1"/>
  <c r="BE1070" i="1"/>
  <c r="BE1071" i="1"/>
  <c r="BE1072" i="1"/>
  <c r="BE1077" i="1"/>
  <c r="BE1080" i="1"/>
  <c r="BE1085" i="1"/>
  <c r="BE1087" i="1"/>
  <c r="BE1089" i="1"/>
  <c r="BE1090" i="1"/>
  <c r="BE1092" i="1"/>
  <c r="BE1093" i="1"/>
  <c r="BE1094" i="1"/>
  <c r="BE1095" i="1"/>
  <c r="BE1100" i="1"/>
  <c r="BE1103" i="1"/>
  <c r="BE1104" i="1"/>
  <c r="BE1107" i="1"/>
  <c r="BE1109" i="1"/>
  <c r="BE1112" i="1"/>
  <c r="BE1113" i="1"/>
  <c r="BE1114" i="1"/>
  <c r="BE1116" i="1"/>
  <c r="BE1117" i="1"/>
  <c r="BE1120" i="1"/>
  <c r="BE1122" i="1"/>
  <c r="BE1124" i="1"/>
  <c r="BE1125" i="1"/>
  <c r="BE1126" i="1"/>
  <c r="BE1127" i="1"/>
  <c r="BE1133" i="1"/>
  <c r="BE5" i="1"/>
  <c r="BE6" i="1"/>
  <c r="BE7" i="1"/>
  <c r="BE3" i="1"/>
  <c r="BB26" i="1"/>
  <c r="BB53" i="1"/>
  <c r="BE53" i="1" s="1"/>
  <c r="BB58" i="1"/>
  <c r="BE58" i="1" s="1"/>
  <c r="BB65" i="1"/>
  <c r="BB71" i="1"/>
  <c r="BB91" i="1"/>
  <c r="BB94" i="1"/>
  <c r="BE94" i="1" s="1"/>
  <c r="BB99" i="1"/>
  <c r="BB110" i="1"/>
  <c r="BB121" i="1"/>
  <c r="BE121" i="1" s="1"/>
  <c r="BB137" i="1"/>
  <c r="BE137" i="1" s="1"/>
  <c r="BB153" i="1"/>
  <c r="BE153" i="1" s="1"/>
  <c r="BB161" i="1"/>
  <c r="BE161" i="1" s="1"/>
  <c r="BB184" i="1"/>
  <c r="BB259" i="1"/>
  <c r="BB313" i="1"/>
  <c r="BE313" i="1" s="1"/>
  <c r="BB315" i="1"/>
  <c r="BB319" i="1"/>
  <c r="BB324" i="1"/>
  <c r="BB337" i="1"/>
  <c r="BB351" i="1"/>
  <c r="BE351" i="1" s="1"/>
  <c r="BB366" i="1"/>
  <c r="BE366" i="1" s="1"/>
  <c r="BB374" i="1"/>
  <c r="BB387" i="1"/>
  <c r="BB389" i="1"/>
  <c r="BB464" i="1"/>
  <c r="BE464" i="1" s="1"/>
  <c r="BB473" i="1"/>
  <c r="BE473" i="1" s="1"/>
  <c r="BB489" i="1"/>
  <c r="BE489" i="1" s="1"/>
  <c r="BB494" i="1"/>
  <c r="BB507" i="1"/>
  <c r="BE507" i="1" s="1"/>
  <c r="BB541" i="1"/>
  <c r="BE541" i="1" s="1"/>
  <c r="BB561" i="1"/>
  <c r="BB587" i="1"/>
  <c r="BB605" i="1"/>
  <c r="BB613" i="1"/>
  <c r="BE613" i="1" s="1"/>
  <c r="BB624" i="1"/>
  <c r="BB626" i="1"/>
  <c r="BE626" i="1" s="1"/>
  <c r="BB648" i="1"/>
  <c r="BE648" i="1" s="1"/>
  <c r="BB683" i="1"/>
  <c r="BB699" i="1"/>
  <c r="BB721" i="1"/>
  <c r="BB796" i="1"/>
  <c r="BB799" i="1"/>
  <c r="BE799" i="1" s="1"/>
  <c r="BB829" i="1"/>
  <c r="BE829" i="1" s="1"/>
  <c r="BB903" i="1"/>
  <c r="BB906" i="1"/>
  <c r="BB931" i="1"/>
  <c r="BE931" i="1" s="1"/>
  <c r="BB985" i="1"/>
  <c r="BE985" i="1" s="1"/>
  <c r="BB986" i="1"/>
  <c r="BE986" i="1" s="1"/>
  <c r="BB1057" i="1"/>
  <c r="BB1075" i="1"/>
  <c r="BE1075" i="1" s="1"/>
  <c r="BB1081" i="1"/>
  <c r="BB1106" i="1"/>
  <c r="BE1106" i="1" s="1"/>
  <c r="BB1121" i="1"/>
  <c r="BB1136" i="1" l="1"/>
  <c r="BE26" i="1"/>
  <c r="BA8" i="1" l="1"/>
  <c r="BE8" i="1" s="1"/>
  <c r="BA9" i="1"/>
  <c r="BE9" i="1" s="1"/>
  <c r="BA10" i="1"/>
  <c r="BE10" i="1" s="1"/>
  <c r="BA12" i="1"/>
  <c r="BE12" i="1" s="1"/>
  <c r="BA16" i="1"/>
  <c r="BE16" i="1" s="1"/>
  <c r="BA17" i="1"/>
  <c r="BE17" i="1" s="1"/>
  <c r="BA19" i="1"/>
  <c r="BE19" i="1" s="1"/>
  <c r="BA21" i="1"/>
  <c r="BE21" i="1" s="1"/>
  <c r="BA22" i="1"/>
  <c r="BE22" i="1" s="1"/>
  <c r="BA23" i="1"/>
  <c r="BE23" i="1" s="1"/>
  <c r="BA25" i="1"/>
  <c r="BE25" i="1" s="1"/>
  <c r="BA27" i="1"/>
  <c r="BE27" i="1" s="1"/>
  <c r="BA28" i="1"/>
  <c r="BE28" i="1" s="1"/>
  <c r="BA30" i="1"/>
  <c r="BE30" i="1" s="1"/>
  <c r="BA31" i="1"/>
  <c r="BE31" i="1" s="1"/>
  <c r="BA34" i="1"/>
  <c r="BE34" i="1" s="1"/>
  <c r="BA35" i="1"/>
  <c r="BE35" i="1" s="1"/>
  <c r="BA42" i="1"/>
  <c r="BE42" i="1" s="1"/>
  <c r="BA43" i="1"/>
  <c r="BE43" i="1" s="1"/>
  <c r="BA45" i="1"/>
  <c r="BE45" i="1" s="1"/>
  <c r="BA47" i="1"/>
  <c r="BE47" i="1" s="1"/>
  <c r="BA48" i="1"/>
  <c r="BE48" i="1" s="1"/>
  <c r="BA49" i="1"/>
  <c r="BE49" i="1" s="1"/>
  <c r="BA50" i="1"/>
  <c r="BE50" i="1" s="1"/>
  <c r="BA52" i="1"/>
  <c r="BE52" i="1" s="1"/>
  <c r="BA54" i="1"/>
  <c r="BE54" i="1" s="1"/>
  <c r="BA55" i="1"/>
  <c r="BE55" i="1" s="1"/>
  <c r="BA57" i="1"/>
  <c r="BA59" i="1"/>
  <c r="BE59" i="1" s="1"/>
  <c r="BA61" i="1"/>
  <c r="BE61" i="1" s="1"/>
  <c r="BA62" i="1"/>
  <c r="BA63" i="1"/>
  <c r="BA64" i="1"/>
  <c r="BA65" i="1"/>
  <c r="BE65" i="1" s="1"/>
  <c r="BA66" i="1"/>
  <c r="BA67" i="1"/>
  <c r="BA69" i="1"/>
  <c r="BE69" i="1" s="1"/>
  <c r="BA70" i="1"/>
  <c r="BE70" i="1" s="1"/>
  <c r="BA71" i="1"/>
  <c r="BE71" i="1" s="1"/>
  <c r="BA72" i="1"/>
  <c r="BA73" i="1"/>
  <c r="BA74" i="1"/>
  <c r="BA75" i="1"/>
  <c r="BA81" i="1"/>
  <c r="BA82" i="1"/>
  <c r="BA83" i="1"/>
  <c r="BA84" i="1"/>
  <c r="BE84" i="1" s="1"/>
  <c r="BA85" i="1"/>
  <c r="BE85" i="1" s="1"/>
  <c r="BA88" i="1"/>
  <c r="BA92" i="1"/>
  <c r="BE92" i="1" s="1"/>
  <c r="BA93" i="1"/>
  <c r="BA95" i="1"/>
  <c r="BA96" i="1"/>
  <c r="BE96" i="1" s="1"/>
  <c r="BA97" i="1"/>
  <c r="BA98" i="1"/>
  <c r="BA99" i="1"/>
  <c r="BE99" i="1" s="1"/>
  <c r="BA100" i="1"/>
  <c r="BE100" i="1" s="1"/>
  <c r="BA103" i="1"/>
  <c r="BA104" i="1"/>
  <c r="BA105" i="1"/>
  <c r="BE105" i="1" s="1"/>
  <c r="BA106" i="1"/>
  <c r="BE106" i="1" s="1"/>
  <c r="BA108" i="1"/>
  <c r="BA109" i="1"/>
  <c r="BA110" i="1"/>
  <c r="BE110" i="1" s="1"/>
  <c r="BA113" i="1"/>
  <c r="BE113" i="1" s="1"/>
  <c r="BA114" i="1"/>
  <c r="BE114" i="1" s="1"/>
  <c r="BA115" i="1"/>
  <c r="BE115" i="1" s="1"/>
  <c r="BA116" i="1"/>
  <c r="BE116" i="1" s="1"/>
  <c r="BA117" i="1"/>
  <c r="BA122" i="1"/>
  <c r="BE122" i="1" s="1"/>
  <c r="BA123" i="1"/>
  <c r="BE123" i="1" s="1"/>
  <c r="BA126" i="1"/>
  <c r="BA127" i="1"/>
  <c r="BA128" i="1"/>
  <c r="BE128" i="1" s="1"/>
  <c r="BA129" i="1"/>
  <c r="BE129" i="1" s="1"/>
  <c r="BA132" i="1"/>
  <c r="BA133" i="1"/>
  <c r="BA139" i="1"/>
  <c r="BE139" i="1" s="1"/>
  <c r="BA140" i="1"/>
  <c r="BE140" i="1" s="1"/>
  <c r="BA141" i="1"/>
  <c r="BA143" i="1"/>
  <c r="BA144" i="1"/>
  <c r="BA145" i="1"/>
  <c r="BE145" i="1" s="1"/>
  <c r="BA147" i="1"/>
  <c r="BA149" i="1"/>
  <c r="BE149" i="1" s="1"/>
  <c r="BA150" i="1"/>
  <c r="BE150" i="1" s="1"/>
  <c r="BA151" i="1"/>
  <c r="BE151" i="1" s="1"/>
  <c r="BA152" i="1"/>
  <c r="BE152" i="1" s="1"/>
  <c r="BA155" i="1"/>
  <c r="BA156" i="1"/>
  <c r="BA157" i="1"/>
  <c r="BA158" i="1"/>
  <c r="BA160" i="1"/>
  <c r="BA162" i="1"/>
  <c r="BE162" i="1" s="1"/>
  <c r="BA163" i="1"/>
  <c r="BE163" i="1" s="1"/>
  <c r="BA164" i="1"/>
  <c r="BE164" i="1" s="1"/>
  <c r="BA165" i="1"/>
  <c r="BA168" i="1"/>
  <c r="BA169" i="1"/>
  <c r="BE169" i="1" s="1"/>
  <c r="BA170" i="1"/>
  <c r="BA171" i="1"/>
  <c r="BA176" i="1"/>
  <c r="BE176" i="1" s="1"/>
  <c r="BA178" i="1"/>
  <c r="BA179" i="1"/>
  <c r="BE179" i="1" s="1"/>
  <c r="BA182" i="1"/>
  <c r="BA185" i="1"/>
  <c r="BA186" i="1"/>
  <c r="BE186" i="1" s="1"/>
  <c r="BA187" i="1"/>
  <c r="BA188" i="1"/>
  <c r="BA189" i="1"/>
  <c r="BA199" i="1"/>
  <c r="BE199" i="1" s="1"/>
  <c r="BA200" i="1"/>
  <c r="BE200" i="1" s="1"/>
  <c r="BA202" i="1"/>
  <c r="BA203" i="1"/>
  <c r="BA204" i="1"/>
  <c r="BA205" i="1"/>
  <c r="BA207" i="1"/>
  <c r="BE207" i="1" s="1"/>
  <c r="BA209" i="1"/>
  <c r="BA212" i="1"/>
  <c r="BA213" i="1"/>
  <c r="BA214" i="1"/>
  <c r="BA215" i="1"/>
  <c r="BA216" i="1"/>
  <c r="BA218" i="1"/>
  <c r="BA221" i="1"/>
  <c r="BE221" i="1" s="1"/>
  <c r="BA222" i="1"/>
  <c r="BE222" i="1" s="1"/>
  <c r="BA224" i="1"/>
  <c r="BE224" i="1" s="1"/>
  <c r="BA225" i="1"/>
  <c r="BE225" i="1" s="1"/>
  <c r="BA226" i="1"/>
  <c r="BA227" i="1"/>
  <c r="BA229" i="1"/>
  <c r="BA230" i="1"/>
  <c r="BA232" i="1"/>
  <c r="BA233" i="1"/>
  <c r="BE233" i="1" s="1"/>
  <c r="BA234" i="1"/>
  <c r="BE234" i="1" s="1"/>
  <c r="BA235" i="1"/>
  <c r="BE235" i="1" s="1"/>
  <c r="BA236" i="1"/>
  <c r="BE236" i="1" s="1"/>
  <c r="BA237" i="1"/>
  <c r="BA238" i="1"/>
  <c r="BA240" i="1"/>
  <c r="BE240" i="1" s="1"/>
  <c r="BA242" i="1"/>
  <c r="BA243" i="1"/>
  <c r="BE243" i="1" s="1"/>
  <c r="BA246" i="1"/>
  <c r="BA247" i="1"/>
  <c r="BE247" i="1" s="1"/>
  <c r="BA251" i="1"/>
  <c r="BA252" i="1"/>
  <c r="BA253" i="1"/>
  <c r="BE253" i="1" s="1"/>
  <c r="BA254" i="1"/>
  <c r="BE254" i="1" s="1"/>
  <c r="BA257" i="1"/>
  <c r="BE257" i="1" s="1"/>
  <c r="BA258" i="1"/>
  <c r="BA259" i="1"/>
  <c r="BE259" i="1" s="1"/>
  <c r="BA260" i="1"/>
  <c r="BA263" i="1"/>
  <c r="BA267" i="1"/>
  <c r="BA268" i="1"/>
  <c r="BA270" i="1"/>
  <c r="BE270" i="1" s="1"/>
  <c r="BA271" i="1"/>
  <c r="BE271" i="1" s="1"/>
  <c r="BA272" i="1"/>
  <c r="BE272" i="1" s="1"/>
  <c r="BA273" i="1"/>
  <c r="BE273" i="1" s="1"/>
  <c r="BA274" i="1"/>
  <c r="BE274" i="1" s="1"/>
  <c r="BA275" i="1"/>
  <c r="BA277" i="1"/>
  <c r="BA278" i="1"/>
  <c r="BE278" i="1" s="1"/>
  <c r="BA293" i="1"/>
  <c r="BE293" i="1" s="1"/>
  <c r="BA312" i="1"/>
  <c r="BE312" i="1" s="1"/>
  <c r="BA314" i="1"/>
  <c r="BE314" i="1" s="1"/>
  <c r="BA315" i="1"/>
  <c r="BE315" i="1" s="1"/>
  <c r="BA316" i="1"/>
  <c r="BA317" i="1"/>
  <c r="BE317" i="1" s="1"/>
  <c r="BA318" i="1"/>
  <c r="BE318" i="1" s="1"/>
  <c r="BA319" i="1"/>
  <c r="BE319" i="1" s="1"/>
  <c r="BA320" i="1"/>
  <c r="BA321" i="1"/>
  <c r="BA322" i="1"/>
  <c r="BE322" i="1" s="1"/>
  <c r="BA323" i="1"/>
  <c r="BE323" i="1" s="1"/>
  <c r="BA324" i="1"/>
  <c r="BE324" i="1" s="1"/>
  <c r="BA329" i="1"/>
  <c r="BE329" i="1" s="1"/>
  <c r="BA330" i="1"/>
  <c r="BA331" i="1"/>
  <c r="BE331" i="1" s="1"/>
  <c r="BA332" i="1"/>
  <c r="BE332" i="1" s="1"/>
  <c r="BA333" i="1"/>
  <c r="BA334" i="1"/>
  <c r="BA335" i="1"/>
  <c r="BA336" i="1"/>
  <c r="BA337" i="1"/>
  <c r="BE337" i="1" s="1"/>
  <c r="BA340" i="1"/>
  <c r="BA341" i="1"/>
  <c r="BA342" i="1"/>
  <c r="BA343" i="1"/>
  <c r="BE343" i="1" s="1"/>
  <c r="BA344" i="1"/>
  <c r="BE344" i="1" s="1"/>
  <c r="BA346" i="1"/>
  <c r="BE346" i="1" s="1"/>
  <c r="BA348" i="1"/>
  <c r="BA349" i="1"/>
  <c r="BE349" i="1" s="1"/>
  <c r="BA353" i="1"/>
  <c r="BE353" i="1" s="1"/>
  <c r="BA355" i="1"/>
  <c r="BE355" i="1" s="1"/>
  <c r="BA356" i="1"/>
  <c r="BE356" i="1" s="1"/>
  <c r="BA358" i="1"/>
  <c r="BE358" i="1" s="1"/>
  <c r="BA359" i="1"/>
  <c r="BA360" i="1"/>
  <c r="BA361" i="1"/>
  <c r="BE361" i="1" s="1"/>
  <c r="BA362" i="1"/>
  <c r="BA367" i="1"/>
  <c r="BE367" i="1" s="1"/>
  <c r="BA369" i="1"/>
  <c r="BA371" i="1"/>
  <c r="BA372" i="1"/>
  <c r="BE372" i="1" s="1"/>
  <c r="BA374" i="1"/>
  <c r="BE374" i="1" s="1"/>
  <c r="BA375" i="1"/>
  <c r="BE375" i="1" s="1"/>
  <c r="BA376" i="1"/>
  <c r="BA377" i="1"/>
  <c r="BA378" i="1"/>
  <c r="BE378" i="1" s="1"/>
  <c r="BA379" i="1"/>
  <c r="BE379" i="1" s="1"/>
  <c r="BA382" i="1"/>
  <c r="BA384" i="1"/>
  <c r="BA387" i="1"/>
  <c r="BE387" i="1" s="1"/>
  <c r="BA388" i="1"/>
  <c r="BA389" i="1"/>
  <c r="BE389" i="1" s="1"/>
  <c r="BA390" i="1"/>
  <c r="BE390" i="1" s="1"/>
  <c r="BA392" i="1"/>
  <c r="BE392" i="1" s="1"/>
  <c r="BA395" i="1"/>
  <c r="BA397" i="1"/>
  <c r="BE397" i="1" s="1"/>
  <c r="BA399" i="1"/>
  <c r="BE399" i="1" s="1"/>
  <c r="BA401" i="1"/>
  <c r="BE401" i="1" s="1"/>
  <c r="BA402" i="1"/>
  <c r="BA403" i="1"/>
  <c r="BA404" i="1"/>
  <c r="BA407" i="1"/>
  <c r="BA409" i="1"/>
  <c r="BA411" i="1"/>
  <c r="BE411" i="1" s="1"/>
  <c r="BA412" i="1"/>
  <c r="BE412" i="1" s="1"/>
  <c r="BA413" i="1"/>
  <c r="BA414" i="1"/>
  <c r="BA415" i="1"/>
  <c r="BE415" i="1" s="1"/>
  <c r="BA419" i="1"/>
  <c r="BA420" i="1"/>
  <c r="BA421" i="1"/>
  <c r="BA422" i="1"/>
  <c r="BA423" i="1"/>
  <c r="BE423" i="1" s="1"/>
  <c r="BA425" i="1"/>
  <c r="BE425" i="1" s="1"/>
  <c r="BA426" i="1"/>
  <c r="BA427" i="1"/>
  <c r="BA428" i="1"/>
  <c r="BA430" i="1"/>
  <c r="BE430" i="1" s="1"/>
  <c r="BA432" i="1"/>
  <c r="BE432" i="1" s="1"/>
  <c r="BA435" i="1"/>
  <c r="BE435" i="1" s="1"/>
  <c r="BA437" i="1"/>
  <c r="BA438" i="1"/>
  <c r="BE438" i="1" s="1"/>
  <c r="BA440" i="1"/>
  <c r="BA443" i="1"/>
  <c r="BA444" i="1"/>
  <c r="BE444" i="1" s="1"/>
  <c r="BA445" i="1"/>
  <c r="BA447" i="1"/>
  <c r="BA449" i="1"/>
  <c r="BA450" i="1"/>
  <c r="BA451" i="1"/>
  <c r="BA454" i="1"/>
  <c r="BE454" i="1" s="1"/>
  <c r="BA455" i="1"/>
  <c r="BE455" i="1" s="1"/>
  <c r="BA457" i="1"/>
  <c r="BA458" i="1"/>
  <c r="BA459" i="1"/>
  <c r="BA460" i="1"/>
  <c r="BE460" i="1" s="1"/>
  <c r="BA462" i="1"/>
  <c r="BA465" i="1"/>
  <c r="BA466" i="1"/>
  <c r="BE466" i="1" s="1"/>
  <c r="BA468" i="1"/>
  <c r="BA469" i="1"/>
  <c r="BA470" i="1"/>
  <c r="BE470" i="1" s="1"/>
  <c r="BA471" i="1"/>
  <c r="BE471" i="1" s="1"/>
  <c r="BA472" i="1"/>
  <c r="BE472" i="1" s="1"/>
  <c r="BA475" i="1"/>
  <c r="BA476" i="1"/>
  <c r="BA478" i="1"/>
  <c r="BE478" i="1" s="1"/>
  <c r="BA480" i="1"/>
  <c r="BA481" i="1"/>
  <c r="BE481" i="1" s="1"/>
  <c r="BA482" i="1"/>
  <c r="BA484" i="1"/>
  <c r="BA485" i="1"/>
  <c r="BA486" i="1"/>
  <c r="BE486" i="1" s="1"/>
  <c r="BA490" i="1"/>
  <c r="BA491" i="1"/>
  <c r="BA493" i="1"/>
  <c r="BA494" i="1"/>
  <c r="BE494" i="1" s="1"/>
  <c r="BA495" i="1"/>
  <c r="BA496" i="1"/>
  <c r="BA497" i="1"/>
  <c r="BE497" i="1" s="1"/>
  <c r="BA498" i="1"/>
  <c r="BE498" i="1" s="1"/>
  <c r="BA499" i="1"/>
  <c r="BA502" i="1"/>
  <c r="BA503" i="1"/>
  <c r="BA504" i="1"/>
  <c r="BA509" i="1"/>
  <c r="BE509" i="1" s="1"/>
  <c r="BA511" i="1"/>
  <c r="BE511" i="1" s="1"/>
  <c r="BA512" i="1"/>
  <c r="BA514" i="1"/>
  <c r="BE514" i="1" s="1"/>
  <c r="BA515" i="1"/>
  <c r="BE515" i="1" s="1"/>
  <c r="BA516" i="1"/>
  <c r="BE516" i="1" s="1"/>
  <c r="BA517" i="1"/>
  <c r="BA519" i="1"/>
  <c r="BE519" i="1" s="1"/>
  <c r="BA520" i="1"/>
  <c r="BE520" i="1" s="1"/>
  <c r="BA521" i="1"/>
  <c r="BA523" i="1"/>
  <c r="BE523" i="1" s="1"/>
  <c r="BA524" i="1"/>
  <c r="BA527" i="1"/>
  <c r="BA528" i="1"/>
  <c r="BA530" i="1"/>
  <c r="BA533" i="1"/>
  <c r="BA534" i="1"/>
  <c r="BA535" i="1"/>
  <c r="BA536" i="1"/>
  <c r="BA537" i="1"/>
  <c r="BE537" i="1" s="1"/>
  <c r="BA538" i="1"/>
  <c r="BE538" i="1" s="1"/>
  <c r="BA543" i="1"/>
  <c r="BA544" i="1"/>
  <c r="BA547" i="1"/>
  <c r="BA549" i="1"/>
  <c r="BE549" i="1" s="1"/>
  <c r="BA551" i="1"/>
  <c r="BA552" i="1"/>
  <c r="BE552" i="1" s="1"/>
  <c r="BA553" i="1"/>
  <c r="BE553" i="1" s="1"/>
  <c r="BA554" i="1"/>
  <c r="BA555" i="1"/>
  <c r="BE555" i="1" s="1"/>
  <c r="BA556" i="1"/>
  <c r="BA557" i="1"/>
  <c r="BA558" i="1"/>
  <c r="BA561" i="1"/>
  <c r="BE561" i="1" s="1"/>
  <c r="BA562" i="1"/>
  <c r="BA563" i="1"/>
  <c r="BE563" i="1" s="1"/>
  <c r="BA564" i="1"/>
  <c r="BE564" i="1" s="1"/>
  <c r="BA565" i="1"/>
  <c r="BA568" i="1"/>
  <c r="BA569" i="1"/>
  <c r="BE569" i="1" s="1"/>
  <c r="BA570" i="1"/>
  <c r="BE570" i="1" s="1"/>
  <c r="BA571" i="1"/>
  <c r="BA572" i="1"/>
  <c r="BE572" i="1" s="1"/>
  <c r="BA578" i="1"/>
  <c r="BE578" i="1" s="1"/>
  <c r="BA579" i="1"/>
  <c r="BE579" i="1" s="1"/>
  <c r="BA580" i="1"/>
  <c r="BE580" i="1" s="1"/>
  <c r="BA587" i="1"/>
  <c r="BE587" i="1" s="1"/>
  <c r="BA593" i="1"/>
  <c r="BA594" i="1"/>
  <c r="BE594" i="1" s="1"/>
  <c r="BA596" i="1"/>
  <c r="BA598" i="1"/>
  <c r="BE598" i="1" s="1"/>
  <c r="BA599" i="1"/>
  <c r="BA601" i="1"/>
  <c r="BE601" i="1" s="1"/>
  <c r="BA602" i="1"/>
  <c r="BA603" i="1"/>
  <c r="BE603" i="1" s="1"/>
  <c r="BA605" i="1"/>
  <c r="BE605" i="1" s="1"/>
  <c r="BA606" i="1"/>
  <c r="BA607" i="1"/>
  <c r="BE607" i="1" s="1"/>
  <c r="BA608" i="1"/>
  <c r="BE608" i="1" s="1"/>
  <c r="BA609" i="1"/>
  <c r="BA612" i="1"/>
  <c r="BE612" i="1" s="1"/>
  <c r="BA616" i="1"/>
  <c r="BE616" i="1" s="1"/>
  <c r="BA617" i="1"/>
  <c r="BE617" i="1" s="1"/>
  <c r="BA619" i="1"/>
  <c r="BE619" i="1" s="1"/>
  <c r="BA620" i="1"/>
  <c r="BE620" i="1" s="1"/>
  <c r="BA623" i="1"/>
  <c r="BE623" i="1" s="1"/>
  <c r="BA624" i="1"/>
  <c r="BE624" i="1" s="1"/>
  <c r="BA625" i="1"/>
  <c r="BA627" i="1"/>
  <c r="BA628" i="1"/>
  <c r="BA629" i="1"/>
  <c r="BA632" i="1"/>
  <c r="BA633" i="1"/>
  <c r="BA634" i="1"/>
  <c r="BA635" i="1"/>
  <c r="BE635" i="1" s="1"/>
  <c r="BA636" i="1"/>
  <c r="BA647" i="1"/>
  <c r="BA651" i="1"/>
  <c r="BE651" i="1" s="1"/>
  <c r="BA652" i="1"/>
  <c r="BE652" i="1" s="1"/>
  <c r="BA655" i="1"/>
  <c r="BA656" i="1"/>
  <c r="BA657" i="1"/>
  <c r="BA658" i="1"/>
  <c r="BE658" i="1" s="1"/>
  <c r="BA659" i="1"/>
  <c r="BE659" i="1" s="1"/>
  <c r="BA661" i="1"/>
  <c r="BE661" i="1" s="1"/>
  <c r="BA664" i="1"/>
  <c r="BA665" i="1"/>
  <c r="BA666" i="1"/>
  <c r="BA669" i="1"/>
  <c r="BA670" i="1"/>
  <c r="BA671" i="1"/>
  <c r="BA672" i="1"/>
  <c r="BA673" i="1"/>
  <c r="BE673" i="1" s="1"/>
  <c r="BA675" i="1"/>
  <c r="BE675" i="1" s="1"/>
  <c r="BA679" i="1"/>
  <c r="BA680" i="1"/>
  <c r="BE680" i="1" s="1"/>
  <c r="BA683" i="1"/>
  <c r="BE683" i="1" s="1"/>
  <c r="BA685" i="1"/>
  <c r="BA686" i="1"/>
  <c r="BE686" i="1" s="1"/>
  <c r="BA687" i="1"/>
  <c r="BE687" i="1" s="1"/>
  <c r="BA689" i="1"/>
  <c r="BA693" i="1"/>
  <c r="BE693" i="1" s="1"/>
  <c r="BA694" i="1"/>
  <c r="BE694" i="1" s="1"/>
  <c r="BA695" i="1"/>
  <c r="BA696" i="1"/>
  <c r="BE696" i="1" s="1"/>
  <c r="BA698" i="1"/>
  <c r="BA699" i="1"/>
  <c r="BE699" i="1" s="1"/>
  <c r="BA700" i="1"/>
  <c r="BA701" i="1"/>
  <c r="BA703" i="1"/>
  <c r="BA704" i="1"/>
  <c r="BE704" i="1" s="1"/>
  <c r="BA705" i="1"/>
  <c r="BE705" i="1" s="1"/>
  <c r="BA708" i="1"/>
  <c r="BA709" i="1"/>
  <c r="BE709" i="1" s="1"/>
  <c r="BA710" i="1"/>
  <c r="BA711" i="1"/>
  <c r="BE711" i="1" s="1"/>
  <c r="BA713" i="1"/>
  <c r="BE713" i="1" s="1"/>
  <c r="BA714" i="1"/>
  <c r="BA715" i="1"/>
  <c r="BA716" i="1"/>
  <c r="BA718" i="1"/>
  <c r="BE718" i="1" s="1"/>
  <c r="BA719" i="1"/>
  <c r="BA721" i="1"/>
  <c r="BE721" i="1" s="1"/>
  <c r="BA722" i="1"/>
  <c r="BE722" i="1" s="1"/>
  <c r="BA724" i="1"/>
  <c r="BE724" i="1" s="1"/>
  <c r="BA725" i="1"/>
  <c r="BE725" i="1" s="1"/>
  <c r="BA728" i="1"/>
  <c r="BA729" i="1"/>
  <c r="BA731" i="1"/>
  <c r="BA732" i="1"/>
  <c r="BE732" i="1" s="1"/>
  <c r="BA733" i="1"/>
  <c r="BE733" i="1" s="1"/>
  <c r="BA734" i="1"/>
  <c r="BA735" i="1"/>
  <c r="BA736" i="1"/>
  <c r="BA738" i="1"/>
  <c r="BA739" i="1"/>
  <c r="BE739" i="1" s="1"/>
  <c r="BA741" i="1"/>
  <c r="BE741" i="1" s="1"/>
  <c r="BA742" i="1"/>
  <c r="BE742" i="1" s="1"/>
  <c r="BA744" i="1"/>
  <c r="BE744" i="1" s="1"/>
  <c r="BA746" i="1"/>
  <c r="BE746" i="1" s="1"/>
  <c r="BA747" i="1"/>
  <c r="BE747" i="1" s="1"/>
  <c r="BA748" i="1"/>
  <c r="BE748" i="1" s="1"/>
  <c r="BA749" i="1"/>
  <c r="BE749" i="1" s="1"/>
  <c r="BA752" i="1"/>
  <c r="BE752" i="1" s="1"/>
  <c r="BA753" i="1"/>
  <c r="BA756" i="1"/>
  <c r="BE756" i="1" s="1"/>
  <c r="BA757" i="1"/>
  <c r="BE757" i="1" s="1"/>
  <c r="BA758" i="1"/>
  <c r="BA760" i="1"/>
  <c r="BA761" i="1"/>
  <c r="BE761" i="1" s="1"/>
  <c r="BA762" i="1"/>
  <c r="BA763" i="1"/>
  <c r="BA765" i="1"/>
  <c r="BE765" i="1" s="1"/>
  <c r="BA767" i="1"/>
  <c r="BE767" i="1" s="1"/>
  <c r="BA771" i="1"/>
  <c r="BE771" i="1" s="1"/>
  <c r="BA774" i="1"/>
  <c r="BE774" i="1" s="1"/>
  <c r="BA776" i="1"/>
  <c r="BA777" i="1"/>
  <c r="BA778" i="1"/>
  <c r="BA780" i="1"/>
  <c r="BE780" i="1" s="1"/>
  <c r="BA781" i="1"/>
  <c r="BA782" i="1"/>
  <c r="BE782" i="1" s="1"/>
  <c r="BA783" i="1"/>
  <c r="BA788" i="1"/>
  <c r="BA789" i="1"/>
  <c r="BA793" i="1"/>
  <c r="BE793" i="1" s="1"/>
  <c r="BA794" i="1"/>
  <c r="BA795" i="1"/>
  <c r="BE795" i="1" s="1"/>
  <c r="BA796" i="1"/>
  <c r="BE796" i="1" s="1"/>
  <c r="BA801" i="1"/>
  <c r="BE801" i="1" s="1"/>
  <c r="BA802" i="1"/>
  <c r="BA803" i="1"/>
  <c r="BE803" i="1" s="1"/>
  <c r="BA804" i="1"/>
  <c r="BA805" i="1"/>
  <c r="BE805" i="1" s="1"/>
  <c r="BA806" i="1"/>
  <c r="BE806" i="1" s="1"/>
  <c r="BA807" i="1"/>
  <c r="BE807" i="1" s="1"/>
  <c r="BA808" i="1"/>
  <c r="BE808" i="1" s="1"/>
  <c r="BA809" i="1"/>
  <c r="BE809" i="1" s="1"/>
  <c r="BA810" i="1"/>
  <c r="BE810" i="1" s="1"/>
  <c r="BA811" i="1"/>
  <c r="BE811" i="1" s="1"/>
  <c r="BA812" i="1"/>
  <c r="BA815" i="1"/>
  <c r="BA817" i="1"/>
  <c r="BE817" i="1" s="1"/>
  <c r="BA819" i="1"/>
  <c r="BA820" i="1"/>
  <c r="BE820" i="1" s="1"/>
  <c r="BA821" i="1"/>
  <c r="BA822" i="1"/>
  <c r="BE822" i="1" s="1"/>
  <c r="BA824" i="1"/>
  <c r="BE824" i="1" s="1"/>
  <c r="BA825" i="1"/>
  <c r="BE825" i="1" s="1"/>
  <c r="BA826" i="1"/>
  <c r="BA828" i="1"/>
  <c r="BE828" i="1" s="1"/>
  <c r="BA830" i="1"/>
  <c r="BE830" i="1" s="1"/>
  <c r="BA831" i="1"/>
  <c r="BE831" i="1" s="1"/>
  <c r="BA832" i="1"/>
  <c r="BA833" i="1"/>
  <c r="BA835" i="1"/>
  <c r="BA836" i="1"/>
  <c r="BE836" i="1" s="1"/>
  <c r="BA838" i="1"/>
  <c r="BE838" i="1" s="1"/>
  <c r="BA839" i="1"/>
  <c r="BE839" i="1" s="1"/>
  <c r="BA840" i="1"/>
  <c r="BA841" i="1"/>
  <c r="BE841" i="1" s="1"/>
  <c r="BA842" i="1"/>
  <c r="BE842" i="1" s="1"/>
  <c r="BA845" i="1"/>
  <c r="BE845" i="1" s="1"/>
  <c r="BA846" i="1"/>
  <c r="BE846" i="1" s="1"/>
  <c r="BA847" i="1"/>
  <c r="BA848" i="1"/>
  <c r="BE848" i="1" s="1"/>
  <c r="BA852" i="1"/>
  <c r="BA853" i="1"/>
  <c r="BA854" i="1"/>
  <c r="BE854" i="1" s="1"/>
  <c r="BA856" i="1"/>
  <c r="BA858" i="1"/>
  <c r="BE858" i="1" s="1"/>
  <c r="BA860" i="1"/>
  <c r="BA862" i="1"/>
  <c r="BA863" i="1"/>
  <c r="BA865" i="1"/>
  <c r="BE865" i="1" s="1"/>
  <c r="BA871" i="1"/>
  <c r="BE871" i="1" s="1"/>
  <c r="BA874" i="1"/>
  <c r="BE874" i="1" s="1"/>
  <c r="BA875" i="1"/>
  <c r="BA877" i="1"/>
  <c r="BE877" i="1" s="1"/>
  <c r="BA878" i="1"/>
  <c r="BA880" i="1"/>
  <c r="BE880" i="1" s="1"/>
  <c r="BA881" i="1"/>
  <c r="BE881" i="1" s="1"/>
  <c r="BA882" i="1"/>
  <c r="BE882" i="1" s="1"/>
  <c r="BA883" i="1"/>
  <c r="BE883" i="1" s="1"/>
  <c r="BA885" i="1"/>
  <c r="BA886" i="1"/>
  <c r="BE886" i="1" s="1"/>
  <c r="BA887" i="1"/>
  <c r="BE887" i="1" s="1"/>
  <c r="BA888" i="1"/>
  <c r="BA889" i="1"/>
  <c r="BA890" i="1"/>
  <c r="BA891" i="1"/>
  <c r="BE891" i="1" s="1"/>
  <c r="BA892" i="1"/>
  <c r="BA893" i="1"/>
  <c r="BA894" i="1"/>
  <c r="BA895" i="1"/>
  <c r="BA896" i="1"/>
  <c r="BA899" i="1"/>
  <c r="BA900" i="1"/>
  <c r="BA901" i="1"/>
  <c r="BE901" i="1" s="1"/>
  <c r="BA902" i="1"/>
  <c r="BE902" i="1" s="1"/>
  <c r="BA903" i="1"/>
  <c r="BE903" i="1" s="1"/>
  <c r="BA904" i="1"/>
  <c r="BE904" i="1" s="1"/>
  <c r="BA905" i="1"/>
  <c r="BA906" i="1"/>
  <c r="BE906" i="1" s="1"/>
  <c r="BA907" i="1"/>
  <c r="BA908" i="1"/>
  <c r="BA911" i="1"/>
  <c r="BA912" i="1"/>
  <c r="BA913" i="1"/>
  <c r="BA914" i="1"/>
  <c r="BE914" i="1" s="1"/>
  <c r="BA915" i="1"/>
  <c r="BA916" i="1"/>
  <c r="BE916" i="1" s="1"/>
  <c r="BA918" i="1"/>
  <c r="BA919" i="1"/>
  <c r="BE919" i="1" s="1"/>
  <c r="BA921" i="1"/>
  <c r="BE921" i="1" s="1"/>
  <c r="BA922" i="1"/>
  <c r="BA923" i="1"/>
  <c r="BE923" i="1" s="1"/>
  <c r="BA925" i="1"/>
  <c r="BA926" i="1"/>
  <c r="BA929" i="1"/>
  <c r="BE929" i="1" s="1"/>
  <c r="BA930" i="1"/>
  <c r="BE930" i="1" s="1"/>
  <c r="BA932" i="1"/>
  <c r="BA933" i="1"/>
  <c r="BA936" i="1"/>
  <c r="BE936" i="1" s="1"/>
  <c r="BA937" i="1"/>
  <c r="BE937" i="1" s="1"/>
  <c r="BA939" i="1"/>
  <c r="BA940" i="1"/>
  <c r="BA941" i="1"/>
  <c r="BA943" i="1"/>
  <c r="BE943" i="1" s="1"/>
  <c r="BA944" i="1"/>
  <c r="BE944" i="1" s="1"/>
  <c r="BA947" i="1"/>
  <c r="BE947" i="1" s="1"/>
  <c r="BA949" i="1"/>
  <c r="BE949" i="1" s="1"/>
  <c r="BA950" i="1"/>
  <c r="BA952" i="1"/>
  <c r="BA953" i="1"/>
  <c r="BE953" i="1" s="1"/>
  <c r="BA954" i="1"/>
  <c r="BA956" i="1"/>
  <c r="BE956" i="1" s="1"/>
  <c r="BA957" i="1"/>
  <c r="BA959" i="1"/>
  <c r="BA960" i="1"/>
  <c r="BA961" i="1"/>
  <c r="BE961" i="1" s="1"/>
  <c r="BA962" i="1"/>
  <c r="BA963" i="1"/>
  <c r="BE963" i="1" s="1"/>
  <c r="BA964" i="1"/>
  <c r="BE964" i="1" s="1"/>
  <c r="BA965" i="1"/>
  <c r="BE965" i="1" s="1"/>
  <c r="BA966" i="1"/>
  <c r="BE966" i="1" s="1"/>
  <c r="BA967" i="1"/>
  <c r="BA969" i="1"/>
  <c r="BA974" i="1"/>
  <c r="BA975" i="1"/>
  <c r="BE975" i="1" s="1"/>
  <c r="BA977" i="1"/>
  <c r="BA978" i="1"/>
  <c r="BE978" i="1" s="1"/>
  <c r="BA979" i="1"/>
  <c r="BA980" i="1"/>
  <c r="BA983" i="1"/>
  <c r="BE983" i="1" s="1"/>
  <c r="BA984" i="1"/>
  <c r="BA988" i="1"/>
  <c r="BE988" i="1" s="1"/>
  <c r="BA989" i="1"/>
  <c r="BA991" i="1"/>
  <c r="BA993" i="1"/>
  <c r="BA997" i="1"/>
  <c r="BE997" i="1" s="1"/>
  <c r="BA998" i="1"/>
  <c r="BE998" i="1" s="1"/>
  <c r="BA999" i="1"/>
  <c r="BE999" i="1" s="1"/>
  <c r="BA1000" i="1"/>
  <c r="BE1000" i="1" s="1"/>
  <c r="BA1001" i="1"/>
  <c r="BE1001" i="1" s="1"/>
  <c r="BA1004" i="1"/>
  <c r="BA1005" i="1"/>
  <c r="BA1006" i="1"/>
  <c r="BA1007" i="1"/>
  <c r="BA1008" i="1"/>
  <c r="BE1008" i="1" s="1"/>
  <c r="BA1010" i="1"/>
  <c r="BE1010" i="1" s="1"/>
  <c r="BA1012" i="1"/>
  <c r="BE1012" i="1" s="1"/>
  <c r="BA1014" i="1"/>
  <c r="BA1015" i="1"/>
  <c r="BA1016" i="1"/>
  <c r="BA1017" i="1"/>
  <c r="BA1019" i="1"/>
  <c r="BA1020" i="1"/>
  <c r="BE1020" i="1" s="1"/>
  <c r="BA1022" i="1"/>
  <c r="BE1022" i="1" s="1"/>
  <c r="BA1024" i="1"/>
  <c r="BA1025" i="1"/>
  <c r="BA1026" i="1"/>
  <c r="BA1028" i="1"/>
  <c r="BA1029" i="1"/>
  <c r="BE1029" i="1" s="1"/>
  <c r="BA1030" i="1"/>
  <c r="BE1030" i="1" s="1"/>
  <c r="BA1031" i="1"/>
  <c r="BA1034" i="1"/>
  <c r="BA1035" i="1"/>
  <c r="BA1036" i="1"/>
  <c r="BA1037" i="1"/>
  <c r="BE1037" i="1" s="1"/>
  <c r="BA1038" i="1"/>
  <c r="BE1038" i="1" s="1"/>
  <c r="BA1039" i="1"/>
  <c r="BE1039" i="1" s="1"/>
  <c r="BA1040" i="1"/>
  <c r="BA1043" i="1"/>
  <c r="BA1044" i="1"/>
  <c r="BA1045" i="1"/>
  <c r="BE1045" i="1" s="1"/>
  <c r="BA1046" i="1"/>
  <c r="BE1046" i="1" s="1"/>
  <c r="BA1047" i="1"/>
  <c r="BA1048" i="1"/>
  <c r="BE1048" i="1" s="1"/>
  <c r="BA1050" i="1"/>
  <c r="BE1050" i="1" s="1"/>
  <c r="BA1052" i="1"/>
  <c r="BE1052" i="1" s="1"/>
  <c r="BA1053" i="1"/>
  <c r="BA1057" i="1"/>
  <c r="BE1057" i="1" s="1"/>
  <c r="BA1058" i="1"/>
  <c r="BE1058" i="1" s="1"/>
  <c r="BA1059" i="1"/>
  <c r="BE1059" i="1" s="1"/>
  <c r="BA1060" i="1"/>
  <c r="BA1064" i="1"/>
  <c r="BA1065" i="1"/>
  <c r="BA1073" i="1"/>
  <c r="BA1074" i="1"/>
  <c r="BA1076" i="1"/>
  <c r="BA1078" i="1"/>
  <c r="BE1078" i="1" s="1"/>
  <c r="BA1079" i="1"/>
  <c r="BE1079" i="1" s="1"/>
  <c r="BA1081" i="1"/>
  <c r="BE1081" i="1" s="1"/>
  <c r="BA1082" i="1"/>
  <c r="BA1083" i="1"/>
  <c r="BE1083" i="1" s="1"/>
  <c r="BA1084" i="1"/>
  <c r="BA1086" i="1"/>
  <c r="BE1086" i="1" s="1"/>
  <c r="BA1088" i="1"/>
  <c r="BE1088" i="1" s="1"/>
  <c r="BA1091" i="1"/>
  <c r="BA1096" i="1"/>
  <c r="BA1097" i="1"/>
  <c r="BE1097" i="1" s="1"/>
  <c r="BA1098" i="1"/>
  <c r="BE1098" i="1" s="1"/>
  <c r="BA1099" i="1"/>
  <c r="BE1099" i="1" s="1"/>
  <c r="BA1101" i="1"/>
  <c r="BA1102" i="1"/>
  <c r="BE1102" i="1" s="1"/>
  <c r="BA1105" i="1"/>
  <c r="BE1105" i="1" s="1"/>
  <c r="BA1108" i="1"/>
  <c r="BA1110" i="1"/>
  <c r="BA1111" i="1"/>
  <c r="BE1111" i="1" s="1"/>
  <c r="BA1115" i="1"/>
  <c r="BE1115" i="1" s="1"/>
  <c r="BA1118" i="1"/>
  <c r="BE1118" i="1" s="1"/>
  <c r="BA1119" i="1"/>
  <c r="BA1121" i="1"/>
  <c r="BE1121" i="1" s="1"/>
  <c r="BA1123" i="1"/>
  <c r="BA1128" i="1"/>
  <c r="BA1129" i="1"/>
  <c r="BA1130" i="1"/>
  <c r="BE1130" i="1" s="1"/>
  <c r="BA1131" i="1"/>
  <c r="BE1131" i="1" s="1"/>
  <c r="BA1132" i="1"/>
  <c r="BA1134" i="1"/>
  <c r="BE1134" i="1" s="1"/>
  <c r="BA1135" i="1"/>
  <c r="BE1135" i="1" s="1"/>
  <c r="BA4" i="1"/>
  <c r="BE4" i="1" s="1"/>
  <c r="BC1074" i="1" l="1"/>
  <c r="BE1074" i="1"/>
  <c r="BE1053" i="1"/>
  <c r="BC1053" i="1"/>
  <c r="BE1031" i="1"/>
  <c r="BC1031" i="1"/>
  <c r="BE900" i="1"/>
  <c r="BC900" i="1"/>
  <c r="BC863" i="1"/>
  <c r="BE863" i="1"/>
  <c r="BE628" i="1"/>
  <c r="BC628" i="1"/>
  <c r="BC602" i="1"/>
  <c r="BE602" i="1"/>
  <c r="BC528" i="1"/>
  <c r="BE528" i="1"/>
  <c r="BE440" i="1"/>
  <c r="BC440" i="1"/>
  <c r="BC414" i="1"/>
  <c r="BE414" i="1"/>
  <c r="BC246" i="1"/>
  <c r="BE246" i="1"/>
  <c r="BC178" i="1"/>
  <c r="BE178" i="1"/>
  <c r="BC109" i="1"/>
  <c r="BE109" i="1"/>
  <c r="BC98" i="1"/>
  <c r="BE98" i="1"/>
  <c r="BC62" i="1"/>
  <c r="BE62" i="1"/>
  <c r="BE1084" i="1"/>
  <c r="BC1084" i="1"/>
  <c r="BC1073" i="1"/>
  <c r="BE1073" i="1"/>
  <c r="BE1019" i="1"/>
  <c r="BC1019" i="1"/>
  <c r="BC889" i="1"/>
  <c r="BE889" i="1"/>
  <c r="BC847" i="1"/>
  <c r="BE847" i="1"/>
  <c r="BE789" i="1"/>
  <c r="BC789" i="1"/>
  <c r="BE735" i="1"/>
  <c r="BC735" i="1"/>
  <c r="BC689" i="1"/>
  <c r="BE689" i="1"/>
  <c r="BC627" i="1"/>
  <c r="BE627" i="1"/>
  <c r="BC490" i="1"/>
  <c r="BE490" i="1"/>
  <c r="BC189" i="1"/>
  <c r="BE189" i="1"/>
  <c r="BC97" i="1"/>
  <c r="BE97" i="1"/>
  <c r="BC1017" i="1"/>
  <c r="BE1017" i="1"/>
  <c r="BE941" i="1"/>
  <c r="BC941" i="1"/>
  <c r="BE896" i="1"/>
  <c r="BC896" i="1"/>
  <c r="BE835" i="1"/>
  <c r="BC835" i="1"/>
  <c r="BE788" i="1"/>
  <c r="BC788" i="1"/>
  <c r="BC758" i="1"/>
  <c r="BE758" i="1"/>
  <c r="BE700" i="1"/>
  <c r="BC700" i="1"/>
  <c r="BE636" i="1"/>
  <c r="BC636" i="1"/>
  <c r="BE599" i="1"/>
  <c r="BC599" i="1"/>
  <c r="BE524" i="1"/>
  <c r="BC524" i="1"/>
  <c r="BC475" i="1"/>
  <c r="BE475" i="1"/>
  <c r="BC450" i="1"/>
  <c r="BE450" i="1"/>
  <c r="BE437" i="1"/>
  <c r="BC437" i="1"/>
  <c r="BC384" i="1"/>
  <c r="BE384" i="1"/>
  <c r="BE1064" i="1"/>
  <c r="BC1064" i="1"/>
  <c r="BC1016" i="1"/>
  <c r="BE1016" i="1"/>
  <c r="BE940" i="1"/>
  <c r="BC940" i="1"/>
  <c r="BC915" i="1"/>
  <c r="BE915" i="1"/>
  <c r="BE895" i="1"/>
  <c r="BC895" i="1"/>
  <c r="BC802" i="1"/>
  <c r="BE802" i="1"/>
  <c r="BE783" i="1"/>
  <c r="BC783" i="1"/>
  <c r="BC710" i="1"/>
  <c r="BE710" i="1"/>
  <c r="BE536" i="1"/>
  <c r="BC536" i="1"/>
  <c r="BC512" i="1"/>
  <c r="BE512" i="1"/>
  <c r="BE485" i="1"/>
  <c r="BC485" i="1"/>
  <c r="BC382" i="1"/>
  <c r="BE382" i="1"/>
  <c r="BC371" i="1"/>
  <c r="BE371" i="1"/>
  <c r="BC342" i="1"/>
  <c r="BE342" i="1"/>
  <c r="BC320" i="1"/>
  <c r="BE320" i="1"/>
  <c r="BC230" i="1"/>
  <c r="BE230" i="1"/>
  <c r="BE218" i="1"/>
  <c r="BC218" i="1"/>
  <c r="BE187" i="1"/>
  <c r="BC187" i="1"/>
  <c r="BC147" i="1"/>
  <c r="BE147" i="1"/>
  <c r="BC81" i="1"/>
  <c r="BE81" i="1"/>
  <c r="BC67" i="1"/>
  <c r="BE67" i="1"/>
  <c r="BE57" i="1"/>
  <c r="BC57" i="1"/>
  <c r="BE1060" i="1"/>
  <c r="BC1060" i="1"/>
  <c r="BC1026" i="1"/>
  <c r="BE1026" i="1"/>
  <c r="BE1015" i="1"/>
  <c r="BC1015" i="1"/>
  <c r="BC962" i="1"/>
  <c r="BE962" i="1"/>
  <c r="BC939" i="1"/>
  <c r="BE939" i="1"/>
  <c r="BC894" i="1"/>
  <c r="BE894" i="1"/>
  <c r="BE821" i="1"/>
  <c r="BC821" i="1"/>
  <c r="BC719" i="1"/>
  <c r="BE719" i="1"/>
  <c r="BE685" i="1"/>
  <c r="BC685" i="1"/>
  <c r="BC551" i="1"/>
  <c r="BE551" i="1"/>
  <c r="BE484" i="1"/>
  <c r="BC484" i="1"/>
  <c r="BE229" i="1"/>
  <c r="BC229" i="1"/>
  <c r="BE204" i="1"/>
  <c r="BC204" i="1"/>
  <c r="BC93" i="1"/>
  <c r="BE93" i="1"/>
  <c r="BC66" i="1"/>
  <c r="BE66" i="1"/>
  <c r="BC1043" i="1"/>
  <c r="BE1043" i="1"/>
  <c r="BE980" i="1"/>
  <c r="BC980" i="1"/>
  <c r="BE957" i="1"/>
  <c r="BC957" i="1"/>
  <c r="BE932" i="1"/>
  <c r="BC932" i="1"/>
  <c r="BC890" i="1"/>
  <c r="BE890" i="1"/>
  <c r="BC815" i="1"/>
  <c r="BE815" i="1"/>
  <c r="BE703" i="1"/>
  <c r="BC703" i="1"/>
  <c r="BE664" i="1"/>
  <c r="BC664" i="1"/>
  <c r="BE565" i="1"/>
  <c r="BC565" i="1"/>
  <c r="BC491" i="1"/>
  <c r="BE491" i="1"/>
  <c r="BC388" i="1"/>
  <c r="BE388" i="1"/>
  <c r="BC212" i="1"/>
  <c r="BE212" i="1"/>
  <c r="BE1101" i="1"/>
  <c r="BC1101" i="1"/>
  <c r="BC1040" i="1"/>
  <c r="BE1040" i="1"/>
  <c r="BE907" i="1"/>
  <c r="BC907" i="1"/>
  <c r="BE812" i="1"/>
  <c r="BC812" i="1"/>
  <c r="BC776" i="1"/>
  <c r="BE776" i="1"/>
  <c r="BE701" i="1"/>
  <c r="BC701" i="1"/>
  <c r="BC554" i="1"/>
  <c r="BE554" i="1"/>
  <c r="BC499" i="1"/>
  <c r="BE499" i="1"/>
  <c r="BC465" i="1"/>
  <c r="BE465" i="1"/>
  <c r="BC413" i="1"/>
  <c r="BE413" i="1"/>
  <c r="BC334" i="1"/>
  <c r="BE334" i="1"/>
  <c r="BE258" i="1"/>
  <c r="BC258" i="1"/>
  <c r="BC209" i="1"/>
  <c r="BE209" i="1"/>
  <c r="BC108" i="1"/>
  <c r="BE108" i="1"/>
  <c r="BE83" i="1"/>
  <c r="BC83" i="1"/>
  <c r="BE1132" i="1"/>
  <c r="BC1132" i="1"/>
  <c r="BC1065" i="1"/>
  <c r="BE1065" i="1"/>
  <c r="BE878" i="1"/>
  <c r="BC878" i="1"/>
  <c r="BE860" i="1"/>
  <c r="BC860" i="1"/>
  <c r="BC625" i="1"/>
  <c r="BE625" i="1"/>
  <c r="BC321" i="1"/>
  <c r="BE321" i="1"/>
  <c r="BC232" i="1"/>
  <c r="BE232" i="1"/>
  <c r="BE188" i="1"/>
  <c r="BC188" i="1"/>
  <c r="BC160" i="1"/>
  <c r="BE160" i="1"/>
  <c r="BC117" i="1"/>
  <c r="BE117" i="1"/>
  <c r="BC82" i="1"/>
  <c r="BE82" i="1"/>
  <c r="BC1082" i="1"/>
  <c r="BE1082" i="1"/>
  <c r="BE1028" i="1"/>
  <c r="BC1028" i="1"/>
  <c r="BE1005" i="1"/>
  <c r="BC1005" i="1"/>
  <c r="BC991" i="1"/>
  <c r="BE991" i="1"/>
  <c r="BC977" i="1"/>
  <c r="BE977" i="1"/>
  <c r="BE926" i="1"/>
  <c r="BC926" i="1"/>
  <c r="BC905" i="1"/>
  <c r="BE905" i="1"/>
  <c r="BC833" i="1"/>
  <c r="BE833" i="1"/>
  <c r="BE671" i="1"/>
  <c r="BC671" i="1"/>
  <c r="BC562" i="1"/>
  <c r="BE562" i="1"/>
  <c r="BE449" i="1"/>
  <c r="BC449" i="1"/>
  <c r="BC422" i="1"/>
  <c r="BE422" i="1"/>
  <c r="BC205" i="1"/>
  <c r="BE205" i="1"/>
  <c r="BC170" i="1"/>
  <c r="BE170" i="1"/>
  <c r="BC158" i="1"/>
  <c r="BE158" i="1"/>
  <c r="BE132" i="1"/>
  <c r="BC132" i="1"/>
  <c r="BC95" i="1"/>
  <c r="BE95" i="1"/>
  <c r="BE989" i="1"/>
  <c r="BC989" i="1"/>
  <c r="BE925" i="1"/>
  <c r="BC925" i="1"/>
  <c r="BE875" i="1"/>
  <c r="BC875" i="1"/>
  <c r="BE856" i="1"/>
  <c r="BC856" i="1"/>
  <c r="BC698" i="1"/>
  <c r="BE698" i="1"/>
  <c r="BC670" i="1"/>
  <c r="BE670" i="1"/>
  <c r="BC634" i="1"/>
  <c r="BE634" i="1"/>
  <c r="BC571" i="1"/>
  <c r="BE571" i="1"/>
  <c r="BC521" i="1"/>
  <c r="BE521" i="1"/>
  <c r="BC496" i="1"/>
  <c r="BE496" i="1"/>
  <c r="BE447" i="1"/>
  <c r="BC447" i="1"/>
  <c r="BC409" i="1"/>
  <c r="BE409" i="1"/>
  <c r="BC395" i="1"/>
  <c r="BE395" i="1"/>
  <c r="BE157" i="1"/>
  <c r="BC157" i="1"/>
  <c r="BE104" i="1"/>
  <c r="BC104" i="1"/>
  <c r="BC75" i="1"/>
  <c r="BE75" i="1"/>
  <c r="BE1096" i="1"/>
  <c r="BC1096" i="1"/>
  <c r="BC1025" i="1"/>
  <c r="BE1025" i="1"/>
  <c r="BE974" i="1"/>
  <c r="BC974" i="1"/>
  <c r="BC950" i="1"/>
  <c r="BE950" i="1"/>
  <c r="BE885" i="1"/>
  <c r="BC885" i="1"/>
  <c r="BC731" i="1"/>
  <c r="BE731" i="1"/>
  <c r="BC708" i="1"/>
  <c r="BE708" i="1"/>
  <c r="BC656" i="1"/>
  <c r="BE656" i="1"/>
  <c r="BC558" i="1"/>
  <c r="BE558" i="1"/>
  <c r="BE534" i="1"/>
  <c r="BC534" i="1"/>
  <c r="BC495" i="1"/>
  <c r="BE495" i="1"/>
  <c r="BC445" i="1"/>
  <c r="BE445" i="1"/>
  <c r="BC330" i="1"/>
  <c r="BE330" i="1"/>
  <c r="BC277" i="1"/>
  <c r="BE277" i="1"/>
  <c r="BC267" i="1"/>
  <c r="BE267" i="1"/>
  <c r="BC237" i="1"/>
  <c r="BE237" i="1"/>
  <c r="BC203" i="1"/>
  <c r="BE203" i="1"/>
  <c r="BE156" i="1"/>
  <c r="BC156" i="1"/>
  <c r="BC144" i="1"/>
  <c r="BE144" i="1"/>
  <c r="BC103" i="1"/>
  <c r="BE103" i="1"/>
  <c r="BE1108" i="1"/>
  <c r="BC1108" i="1"/>
  <c r="BE984" i="1"/>
  <c r="BC984" i="1"/>
  <c r="BE960" i="1"/>
  <c r="BC960" i="1"/>
  <c r="BE853" i="1"/>
  <c r="BC853" i="1"/>
  <c r="BC819" i="1"/>
  <c r="BE819" i="1"/>
  <c r="BE716" i="1"/>
  <c r="BC716" i="1"/>
  <c r="BC695" i="1"/>
  <c r="BE695" i="1"/>
  <c r="BC655" i="1"/>
  <c r="BE655" i="1"/>
  <c r="BC632" i="1"/>
  <c r="BE632" i="1"/>
  <c r="BE557" i="1"/>
  <c r="BC557" i="1"/>
  <c r="BE533" i="1"/>
  <c r="BC533" i="1"/>
  <c r="BC504" i="1"/>
  <c r="BE504" i="1"/>
  <c r="BC457" i="1"/>
  <c r="BE457" i="1"/>
  <c r="BE428" i="1"/>
  <c r="BC428" i="1"/>
  <c r="BC377" i="1"/>
  <c r="BE377" i="1"/>
  <c r="BC362" i="1"/>
  <c r="BE362" i="1"/>
  <c r="BC263" i="1"/>
  <c r="BE263" i="1"/>
  <c r="BC251" i="1"/>
  <c r="BE251" i="1"/>
  <c r="BC214" i="1"/>
  <c r="BE214" i="1"/>
  <c r="BC182" i="1"/>
  <c r="BE182" i="1"/>
  <c r="BC155" i="1"/>
  <c r="BE155" i="1"/>
  <c r="BC127" i="1"/>
  <c r="BE127" i="1"/>
  <c r="BE908" i="1"/>
  <c r="BC908" i="1"/>
  <c r="BC826" i="1"/>
  <c r="BE826" i="1"/>
  <c r="BC777" i="1"/>
  <c r="BE777" i="1"/>
  <c r="BC736" i="1"/>
  <c r="BE736" i="1"/>
  <c r="BC714" i="1"/>
  <c r="BE714" i="1"/>
  <c r="BE543" i="1"/>
  <c r="BC543" i="1"/>
  <c r="BC502" i="1"/>
  <c r="BE502" i="1"/>
  <c r="BC426" i="1"/>
  <c r="BE426" i="1"/>
  <c r="BC402" i="1"/>
  <c r="BE402" i="1"/>
  <c r="BC360" i="1"/>
  <c r="BE360" i="1"/>
  <c r="BC335" i="1"/>
  <c r="BE335" i="1"/>
  <c r="BC1119" i="1"/>
  <c r="BE1119" i="1"/>
  <c r="BE1007" i="1"/>
  <c r="BC1007" i="1"/>
  <c r="BC979" i="1"/>
  <c r="BE979" i="1"/>
  <c r="BE918" i="1"/>
  <c r="BC918" i="1"/>
  <c r="BE899" i="1"/>
  <c r="BC899" i="1"/>
  <c r="BC862" i="1"/>
  <c r="BE862" i="1"/>
  <c r="BE804" i="1"/>
  <c r="BC804" i="1"/>
  <c r="BC760" i="1"/>
  <c r="BE760" i="1"/>
  <c r="BE647" i="1"/>
  <c r="BC647" i="1"/>
  <c r="BE527" i="1"/>
  <c r="BC527" i="1"/>
  <c r="BC476" i="1"/>
  <c r="BE476" i="1"/>
  <c r="BC451" i="1"/>
  <c r="BE451" i="1"/>
  <c r="BC359" i="1"/>
  <c r="BE359" i="1"/>
  <c r="BE1006" i="1"/>
  <c r="BC1006" i="1"/>
  <c r="BC993" i="1"/>
  <c r="BE993" i="1"/>
  <c r="BC954" i="1"/>
  <c r="BE954" i="1"/>
  <c r="BE888" i="1"/>
  <c r="BC888" i="1"/>
  <c r="BC734" i="1"/>
  <c r="BE734" i="1"/>
  <c r="BC672" i="1"/>
  <c r="BE672" i="1"/>
  <c r="BE609" i="1"/>
  <c r="BC609" i="1"/>
  <c r="BE462" i="1"/>
  <c r="BC462" i="1"/>
  <c r="BC333" i="1"/>
  <c r="BE333" i="1"/>
  <c r="BE242" i="1"/>
  <c r="BC242" i="1"/>
  <c r="BC171" i="1"/>
  <c r="BE171" i="1"/>
  <c r="BE133" i="1"/>
  <c r="BC133" i="1"/>
  <c r="BE1047" i="1"/>
  <c r="BC1047" i="1"/>
  <c r="BE1004" i="1"/>
  <c r="BC1004" i="1"/>
  <c r="BE952" i="1"/>
  <c r="BC952" i="1"/>
  <c r="BE832" i="1"/>
  <c r="BC832" i="1"/>
  <c r="BE657" i="1"/>
  <c r="BC657" i="1"/>
  <c r="BE596" i="1"/>
  <c r="BC596" i="1"/>
  <c r="BC535" i="1"/>
  <c r="BE535" i="1"/>
  <c r="BC459" i="1"/>
  <c r="BE459" i="1"/>
  <c r="BE421" i="1"/>
  <c r="BC421" i="1"/>
  <c r="BC369" i="1"/>
  <c r="BE369" i="1"/>
  <c r="BC341" i="1"/>
  <c r="BE341" i="1"/>
  <c r="BE268" i="1"/>
  <c r="BC268" i="1"/>
  <c r="BC238" i="1"/>
  <c r="BE238" i="1"/>
  <c r="BC216" i="1"/>
  <c r="BE216" i="1"/>
  <c r="BC1129" i="1"/>
  <c r="BE1129" i="1"/>
  <c r="BC1110" i="1"/>
  <c r="BE1110" i="1"/>
  <c r="BE1036" i="1"/>
  <c r="BC1036" i="1"/>
  <c r="BE1014" i="1"/>
  <c r="BC1014" i="1"/>
  <c r="BC913" i="1"/>
  <c r="BE913" i="1"/>
  <c r="BE893" i="1"/>
  <c r="BC893" i="1"/>
  <c r="BE781" i="1"/>
  <c r="BC781" i="1"/>
  <c r="BC753" i="1"/>
  <c r="BE753" i="1"/>
  <c r="BE669" i="1"/>
  <c r="BC669" i="1"/>
  <c r="BC633" i="1"/>
  <c r="BE633" i="1"/>
  <c r="BC606" i="1"/>
  <c r="BE606" i="1"/>
  <c r="BC482" i="1"/>
  <c r="BE482" i="1"/>
  <c r="BC458" i="1"/>
  <c r="BE458" i="1"/>
  <c r="BE420" i="1"/>
  <c r="BC420" i="1"/>
  <c r="BC407" i="1"/>
  <c r="BE407" i="1"/>
  <c r="BC340" i="1"/>
  <c r="BE340" i="1"/>
  <c r="BE252" i="1"/>
  <c r="BC252" i="1"/>
  <c r="BC227" i="1"/>
  <c r="BE227" i="1"/>
  <c r="BC215" i="1"/>
  <c r="BE215" i="1"/>
  <c r="BC185" i="1"/>
  <c r="BE185" i="1"/>
  <c r="BC168" i="1"/>
  <c r="BE168" i="1"/>
  <c r="BC74" i="1"/>
  <c r="BE74" i="1"/>
  <c r="BE1128" i="1"/>
  <c r="BC1128" i="1"/>
  <c r="BE1091" i="1"/>
  <c r="BC1091" i="1"/>
  <c r="BC1035" i="1"/>
  <c r="BE1035" i="1"/>
  <c r="BE1024" i="1"/>
  <c r="BC1024" i="1"/>
  <c r="BC969" i="1"/>
  <c r="BE969" i="1"/>
  <c r="BC922" i="1"/>
  <c r="BE922" i="1"/>
  <c r="BC912" i="1"/>
  <c r="BE912" i="1"/>
  <c r="BE892" i="1"/>
  <c r="BC892" i="1"/>
  <c r="BC840" i="1"/>
  <c r="BE840" i="1"/>
  <c r="BE763" i="1"/>
  <c r="BC763" i="1"/>
  <c r="BC729" i="1"/>
  <c r="BE729" i="1"/>
  <c r="BC666" i="1"/>
  <c r="BE666" i="1"/>
  <c r="BC593" i="1"/>
  <c r="BE593" i="1"/>
  <c r="BC547" i="1"/>
  <c r="BE547" i="1"/>
  <c r="BE469" i="1"/>
  <c r="BC469" i="1"/>
  <c r="BC419" i="1"/>
  <c r="BE419" i="1"/>
  <c r="BE404" i="1"/>
  <c r="BC404" i="1"/>
  <c r="BC275" i="1"/>
  <c r="BE275" i="1"/>
  <c r="BC226" i="1"/>
  <c r="BE226" i="1"/>
  <c r="BC202" i="1"/>
  <c r="BE202" i="1"/>
  <c r="BC165" i="1"/>
  <c r="BE165" i="1"/>
  <c r="BC143" i="1"/>
  <c r="BE143" i="1"/>
  <c r="BE88" i="1"/>
  <c r="BC88" i="1"/>
  <c r="BE73" i="1"/>
  <c r="BC73" i="1"/>
  <c r="BC64" i="1"/>
  <c r="BE64" i="1"/>
  <c r="BE1123" i="1"/>
  <c r="BC1123" i="1"/>
  <c r="BE1076" i="1"/>
  <c r="BC1076" i="1"/>
  <c r="BE1044" i="1"/>
  <c r="BC1044" i="1"/>
  <c r="BC1034" i="1"/>
  <c r="BE1034" i="1"/>
  <c r="BE967" i="1"/>
  <c r="BC967" i="1"/>
  <c r="BC959" i="1"/>
  <c r="BE959" i="1"/>
  <c r="BE933" i="1"/>
  <c r="BC933" i="1"/>
  <c r="BC911" i="1"/>
  <c r="BE911" i="1"/>
  <c r="BE852" i="1"/>
  <c r="BC852" i="1"/>
  <c r="BC794" i="1"/>
  <c r="BE794" i="1"/>
  <c r="BC778" i="1"/>
  <c r="BE778" i="1"/>
  <c r="BC762" i="1"/>
  <c r="BE762" i="1"/>
  <c r="BC738" i="1"/>
  <c r="BE738" i="1"/>
  <c r="BC728" i="1"/>
  <c r="BE728" i="1"/>
  <c r="BC715" i="1"/>
  <c r="BE715" i="1"/>
  <c r="BC679" i="1"/>
  <c r="BE679" i="1"/>
  <c r="BC665" i="1"/>
  <c r="BE665" i="1"/>
  <c r="BE629" i="1"/>
  <c r="BC629" i="1"/>
  <c r="BC568" i="1"/>
  <c r="BE568" i="1"/>
  <c r="BE556" i="1"/>
  <c r="BC556" i="1"/>
  <c r="BE544" i="1"/>
  <c r="BC544" i="1"/>
  <c r="BC530" i="1"/>
  <c r="BE530" i="1"/>
  <c r="BE517" i="1"/>
  <c r="BC517" i="1"/>
  <c r="BC503" i="1"/>
  <c r="BE503" i="1"/>
  <c r="BE493" i="1"/>
  <c r="BC493" i="1"/>
  <c r="BE480" i="1"/>
  <c r="BC480" i="1"/>
  <c r="BE468" i="1"/>
  <c r="BC468" i="1"/>
  <c r="BC443" i="1"/>
  <c r="BE443" i="1"/>
  <c r="BC427" i="1"/>
  <c r="BE427" i="1"/>
  <c r="BC403" i="1"/>
  <c r="BE403" i="1"/>
  <c r="BC376" i="1"/>
  <c r="BE376" i="1"/>
  <c r="BE348" i="1"/>
  <c r="BC348" i="1"/>
  <c r="BC336" i="1"/>
  <c r="BE336" i="1"/>
  <c r="BC316" i="1"/>
  <c r="BE316" i="1"/>
  <c r="BC260" i="1"/>
  <c r="BE260" i="1"/>
  <c r="BC213" i="1"/>
  <c r="BE213" i="1"/>
  <c r="BE141" i="1"/>
  <c r="BC141" i="1"/>
  <c r="BC126" i="1"/>
  <c r="BE126" i="1"/>
  <c r="BC72" i="1"/>
  <c r="BE72" i="1"/>
  <c r="BC63" i="1"/>
  <c r="BE63" i="1"/>
  <c r="Y110" i="1" l="1"/>
  <c r="V303" i="1"/>
  <c r="Y1071" i="1"/>
  <c r="AR1136" i="1" l="1"/>
  <c r="AZ1136" i="1"/>
  <c r="BF9" i="1" l="1"/>
  <c r="BF10" i="1"/>
  <c r="BF13" i="1"/>
  <c r="BF22" i="1"/>
  <c r="BF31" i="1"/>
  <c r="BF32" i="1"/>
  <c r="BF33" i="1"/>
  <c r="BF35" i="1"/>
  <c r="BF39" i="1"/>
  <c r="BF53" i="1"/>
  <c r="BF61" i="1"/>
  <c r="BF62" i="1"/>
  <c r="BG62" i="1" s="1"/>
  <c r="BF67" i="1"/>
  <c r="BG67" i="1" s="1"/>
  <c r="BF72" i="1"/>
  <c r="BG72" i="1" s="1"/>
  <c r="BF73" i="1"/>
  <c r="BG73" i="1" s="1"/>
  <c r="BF74" i="1"/>
  <c r="BG74" i="1" s="1"/>
  <c r="BF75" i="1"/>
  <c r="BG75" i="1" s="1"/>
  <c r="BF76" i="1"/>
  <c r="BF79" i="1"/>
  <c r="BF82" i="1"/>
  <c r="BG82" i="1" s="1"/>
  <c r="BF84" i="1"/>
  <c r="BF92" i="1"/>
  <c r="BF101" i="1"/>
  <c r="BF113" i="1"/>
  <c r="BF120" i="1"/>
  <c r="BF121" i="1"/>
  <c r="BF122" i="1"/>
  <c r="BF123" i="1"/>
  <c r="BF124" i="1"/>
  <c r="BF125" i="1"/>
  <c r="BF126" i="1"/>
  <c r="BG126" i="1" s="1"/>
  <c r="BF127" i="1"/>
  <c r="BG127" i="1" s="1"/>
  <c r="BF128" i="1"/>
  <c r="BF138" i="1"/>
  <c r="BF140" i="1"/>
  <c r="BF143" i="1"/>
  <c r="BG143" i="1" s="1"/>
  <c r="BF148" i="1"/>
  <c r="BF150" i="1"/>
  <c r="BF152" i="1"/>
  <c r="BF153" i="1"/>
  <c r="BF154" i="1"/>
  <c r="BF155" i="1"/>
  <c r="BG155" i="1" s="1"/>
  <c r="BF156" i="1"/>
  <c r="BG156" i="1" s="1"/>
  <c r="BF161" i="1"/>
  <c r="BF167" i="1"/>
  <c r="BF170" i="1"/>
  <c r="BG170" i="1" s="1"/>
  <c r="BF175" i="1"/>
  <c r="BF181" i="1"/>
  <c r="BG181" i="1" s="1"/>
  <c r="BF182" i="1"/>
  <c r="BG182" i="1" s="1"/>
  <c r="BF183" i="1"/>
  <c r="BF184" i="1"/>
  <c r="BF185" i="1"/>
  <c r="BG185" i="1" s="1"/>
  <c r="BF186" i="1"/>
  <c r="BF187" i="1"/>
  <c r="BG187" i="1" s="1"/>
  <c r="BF188" i="1"/>
  <c r="BG188" i="1" s="1"/>
  <c r="BF189" i="1"/>
  <c r="BG189" i="1" s="1"/>
  <c r="BF190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G202" i="1" s="1"/>
  <c r="BF203" i="1"/>
  <c r="BG203" i="1" s="1"/>
  <c r="BF204" i="1"/>
  <c r="BG204" i="1" s="1"/>
  <c r="BF205" i="1"/>
  <c r="BG205" i="1" s="1"/>
  <c r="BF206" i="1"/>
  <c r="BF207" i="1"/>
  <c r="BF212" i="1"/>
  <c r="BG212" i="1" s="1"/>
  <c r="BF216" i="1"/>
  <c r="BG216" i="1" s="1"/>
  <c r="BF219" i="1"/>
  <c r="BF221" i="1"/>
  <c r="BF243" i="1"/>
  <c r="BF245" i="1"/>
  <c r="BG245" i="1" s="1"/>
  <c r="BF247" i="1"/>
  <c r="BF248" i="1"/>
  <c r="BF249" i="1"/>
  <c r="BF250" i="1"/>
  <c r="BF256" i="1"/>
  <c r="BF257" i="1"/>
  <c r="BF258" i="1"/>
  <c r="BG258" i="1" s="1"/>
  <c r="BF266" i="1"/>
  <c r="BF272" i="1"/>
  <c r="BF274" i="1"/>
  <c r="BF275" i="1"/>
  <c r="BG275" i="1" s="1"/>
  <c r="BF276" i="1"/>
  <c r="BF277" i="1"/>
  <c r="BG277" i="1" s="1"/>
  <c r="BF278" i="1"/>
  <c r="BF311" i="1"/>
  <c r="BF312" i="1"/>
  <c r="BF326" i="1"/>
  <c r="BF333" i="1"/>
  <c r="BG333" i="1" s="1"/>
  <c r="BF339" i="1"/>
  <c r="BF349" i="1"/>
  <c r="BF353" i="1"/>
  <c r="BF354" i="1"/>
  <c r="BF355" i="1"/>
  <c r="BF356" i="1"/>
  <c r="BF357" i="1"/>
  <c r="BF358" i="1"/>
  <c r="BF362" i="1"/>
  <c r="BG362" i="1" s="1"/>
  <c r="BF375" i="1"/>
  <c r="BF381" i="1"/>
  <c r="BF383" i="1"/>
  <c r="BF385" i="1"/>
  <c r="BF386" i="1"/>
  <c r="BF390" i="1"/>
  <c r="BF391" i="1"/>
  <c r="BF392" i="1"/>
  <c r="BF393" i="1"/>
  <c r="BF396" i="1"/>
  <c r="BF400" i="1"/>
  <c r="BF426" i="1"/>
  <c r="BG426" i="1" s="1"/>
  <c r="BF430" i="1"/>
  <c r="BF434" i="1"/>
  <c r="BF435" i="1"/>
  <c r="BF436" i="1"/>
  <c r="BF437" i="1"/>
  <c r="BG437" i="1" s="1"/>
  <c r="BF439" i="1"/>
  <c r="BF442" i="1"/>
  <c r="BF446" i="1"/>
  <c r="BF467" i="1"/>
  <c r="BF476" i="1"/>
  <c r="BG476" i="1" s="1"/>
  <c r="BF481" i="1"/>
  <c r="BF485" i="1"/>
  <c r="BG485" i="1" s="1"/>
  <c r="BF486" i="1"/>
  <c r="BF487" i="1"/>
  <c r="BF498" i="1"/>
  <c r="BF504" i="1"/>
  <c r="BG504" i="1" s="1"/>
  <c r="BF505" i="1"/>
  <c r="BF506" i="1"/>
  <c r="BF510" i="1"/>
  <c r="BF516" i="1"/>
  <c r="BF517" i="1"/>
  <c r="BG517" i="1" s="1"/>
  <c r="BF518" i="1"/>
  <c r="BF519" i="1"/>
  <c r="BF521" i="1"/>
  <c r="BG521" i="1" s="1"/>
  <c r="BF522" i="1"/>
  <c r="BF523" i="1"/>
  <c r="BF524" i="1"/>
  <c r="BG524" i="1" s="1"/>
  <c r="BF528" i="1"/>
  <c r="BG528" i="1" s="1"/>
  <c r="BF529" i="1"/>
  <c r="BF535" i="1"/>
  <c r="BG535" i="1" s="1"/>
  <c r="BF537" i="1"/>
  <c r="BF538" i="1"/>
  <c r="BF539" i="1"/>
  <c r="BF543" i="1"/>
  <c r="BG543" i="1" s="1"/>
  <c r="BF553" i="1"/>
  <c r="BF560" i="1"/>
  <c r="BF565" i="1"/>
  <c r="BG565" i="1" s="1"/>
  <c r="BF568" i="1"/>
  <c r="BG568" i="1" s="1"/>
  <c r="BF569" i="1"/>
  <c r="BF576" i="1"/>
  <c r="BF577" i="1"/>
  <c r="BF578" i="1"/>
  <c r="BF593" i="1"/>
  <c r="BG593" i="1" s="1"/>
  <c r="BF594" i="1"/>
  <c r="BF595" i="1"/>
  <c r="BF605" i="1"/>
  <c r="BF610" i="1"/>
  <c r="BG610" i="1" s="1"/>
  <c r="BF616" i="1"/>
  <c r="BF624" i="1"/>
  <c r="BF627" i="1"/>
  <c r="BG627" i="1" s="1"/>
  <c r="BF628" i="1"/>
  <c r="BG628" i="1" s="1"/>
  <c r="BF629" i="1"/>
  <c r="BG629" i="1" s="1"/>
  <c r="BF630" i="1"/>
  <c r="BF631" i="1"/>
  <c r="BF632" i="1"/>
  <c r="BG632" i="1" s="1"/>
  <c r="BF633" i="1"/>
  <c r="BG633" i="1" s="1"/>
  <c r="BF635" i="1"/>
  <c r="BF640" i="1"/>
  <c r="BF642" i="1"/>
  <c r="BF644" i="1"/>
  <c r="BG644" i="1" s="1"/>
  <c r="BF648" i="1"/>
  <c r="BF650" i="1"/>
  <c r="BF651" i="1"/>
  <c r="BF652" i="1"/>
  <c r="BF653" i="1"/>
  <c r="BF654" i="1"/>
  <c r="BF655" i="1"/>
  <c r="BG655" i="1" s="1"/>
  <c r="BF656" i="1"/>
  <c r="BG656" i="1" s="1"/>
  <c r="BF657" i="1"/>
  <c r="BG657" i="1" s="1"/>
  <c r="BF658" i="1"/>
  <c r="BF665" i="1"/>
  <c r="BG665" i="1" s="1"/>
  <c r="BF671" i="1"/>
  <c r="BG671" i="1" s="1"/>
  <c r="BF681" i="1"/>
  <c r="BF709" i="1"/>
  <c r="BF713" i="1"/>
  <c r="BF714" i="1"/>
  <c r="BG714" i="1" s="1"/>
  <c r="BF715" i="1"/>
  <c r="BG715" i="1" s="1"/>
  <c r="BF716" i="1"/>
  <c r="BG716" i="1" s="1"/>
  <c r="BF717" i="1"/>
  <c r="BF718" i="1"/>
  <c r="BF719" i="1"/>
  <c r="BG719" i="1" s="1"/>
  <c r="BF720" i="1"/>
  <c r="BF721" i="1"/>
  <c r="BF722" i="1"/>
  <c r="BF723" i="1"/>
  <c r="BF733" i="1"/>
  <c r="BF734" i="1"/>
  <c r="BG734" i="1" s="1"/>
  <c r="BF736" i="1"/>
  <c r="BG736" i="1" s="1"/>
  <c r="BF743" i="1"/>
  <c r="BG743" i="1" s="1"/>
  <c r="BF744" i="1"/>
  <c r="BF745" i="1"/>
  <c r="BF746" i="1"/>
  <c r="BF747" i="1"/>
  <c r="BF748" i="1"/>
  <c r="BF752" i="1"/>
  <c r="BF753" i="1"/>
  <c r="BG753" i="1" s="1"/>
  <c r="BF757" i="1"/>
  <c r="BF762" i="1"/>
  <c r="BG762" i="1" s="1"/>
  <c r="BF764" i="1"/>
  <c r="BF765" i="1"/>
  <c r="BF766" i="1"/>
  <c r="BF767" i="1"/>
  <c r="BF768" i="1"/>
  <c r="BF769" i="1"/>
  <c r="BF770" i="1"/>
  <c r="BF771" i="1"/>
  <c r="BF772" i="1"/>
  <c r="BF773" i="1"/>
  <c r="BF774" i="1"/>
  <c r="BF775" i="1"/>
  <c r="BF776" i="1"/>
  <c r="BG776" i="1" s="1"/>
  <c r="BF777" i="1"/>
  <c r="BG777" i="1" s="1"/>
  <c r="BF778" i="1"/>
  <c r="BG778" i="1" s="1"/>
  <c r="BF779" i="1"/>
  <c r="BF780" i="1"/>
  <c r="BF785" i="1"/>
  <c r="BF788" i="1"/>
  <c r="BG788" i="1" s="1"/>
  <c r="BF805" i="1"/>
  <c r="BF809" i="1"/>
  <c r="BF823" i="1"/>
  <c r="BF827" i="1"/>
  <c r="BF828" i="1"/>
  <c r="BF829" i="1"/>
  <c r="BF830" i="1"/>
  <c r="BF837" i="1"/>
  <c r="BF838" i="1"/>
  <c r="BF840" i="1"/>
  <c r="BG840" i="1" s="1"/>
  <c r="BF855" i="1"/>
  <c r="BF857" i="1"/>
  <c r="BF861" i="1"/>
  <c r="BG861" i="1" s="1"/>
  <c r="BF862" i="1"/>
  <c r="BG862" i="1" s="1"/>
  <c r="BF863" i="1"/>
  <c r="BG863" i="1" s="1"/>
  <c r="BF864" i="1"/>
  <c r="BF873" i="1"/>
  <c r="BF875" i="1"/>
  <c r="BG875" i="1" s="1"/>
  <c r="BF877" i="1"/>
  <c r="BF879" i="1"/>
  <c r="BF880" i="1"/>
  <c r="BF889" i="1"/>
  <c r="BG889" i="1" s="1"/>
  <c r="BF893" i="1"/>
  <c r="BG893" i="1" s="1"/>
  <c r="BF894" i="1"/>
  <c r="BG894" i="1" s="1"/>
  <c r="BF895" i="1"/>
  <c r="BG895" i="1" s="1"/>
  <c r="BF896" i="1"/>
  <c r="BG896" i="1" s="1"/>
  <c r="BF897" i="1"/>
  <c r="BF898" i="1"/>
  <c r="BF900" i="1"/>
  <c r="BG900" i="1" s="1"/>
  <c r="BF901" i="1"/>
  <c r="BF902" i="1"/>
  <c r="BF906" i="1"/>
  <c r="BF909" i="1"/>
  <c r="BF910" i="1"/>
  <c r="BF912" i="1"/>
  <c r="BG912" i="1" s="1"/>
  <c r="BF917" i="1"/>
  <c r="BF918" i="1"/>
  <c r="BG918" i="1" s="1"/>
  <c r="BF919" i="1"/>
  <c r="BF920" i="1"/>
  <c r="BF921" i="1"/>
  <c r="BF922" i="1"/>
  <c r="BG922" i="1" s="1"/>
  <c r="BF923" i="1"/>
  <c r="BF924" i="1"/>
  <c r="BF925" i="1"/>
  <c r="BG925" i="1" s="1"/>
  <c r="BF937" i="1"/>
  <c r="BF940" i="1"/>
  <c r="BG940" i="1" s="1"/>
  <c r="BF945" i="1"/>
  <c r="BF949" i="1"/>
  <c r="BF952" i="1"/>
  <c r="BG952" i="1" s="1"/>
  <c r="BF954" i="1"/>
  <c r="BG954" i="1" s="1"/>
  <c r="BF955" i="1"/>
  <c r="BF956" i="1"/>
  <c r="BF962" i="1"/>
  <c r="BG962" i="1" s="1"/>
  <c r="BF969" i="1"/>
  <c r="BG969" i="1" s="1"/>
  <c r="BF971" i="1"/>
  <c r="BF975" i="1"/>
  <c r="BF978" i="1"/>
  <c r="BF979" i="1"/>
  <c r="BG979" i="1" s="1"/>
  <c r="BF982" i="1"/>
  <c r="BF983" i="1"/>
  <c r="BF984" i="1"/>
  <c r="BG984" i="1" s="1"/>
  <c r="BF985" i="1"/>
  <c r="BF986" i="1"/>
  <c r="BF992" i="1"/>
  <c r="BF996" i="1"/>
  <c r="BF1003" i="1"/>
  <c r="BG1003" i="1" s="1"/>
  <c r="BF1004" i="1"/>
  <c r="BG1004" i="1" s="1"/>
  <c r="BF1009" i="1"/>
  <c r="BF1011" i="1"/>
  <c r="BF1012" i="1"/>
  <c r="BF1023" i="1"/>
  <c r="BF1025" i="1"/>
  <c r="BG1025" i="1" s="1"/>
  <c r="BF1026" i="1"/>
  <c r="BG1026" i="1" s="1"/>
  <c r="BF1028" i="1"/>
  <c r="BG1028" i="1" s="1"/>
  <c r="BF1029" i="1"/>
  <c r="BF1038" i="1"/>
  <c r="BF1040" i="1"/>
  <c r="BG1040" i="1" s="1"/>
  <c r="BF1041" i="1"/>
  <c r="BF1042" i="1"/>
  <c r="BG1042" i="1" s="1"/>
  <c r="BF1043" i="1"/>
  <c r="BG1043" i="1" s="1"/>
  <c r="BF1044" i="1"/>
  <c r="BG1044" i="1" s="1"/>
  <c r="BF1045" i="1"/>
  <c r="BF1046" i="1"/>
  <c r="BF1047" i="1"/>
  <c r="BG1047" i="1" s="1"/>
  <c r="BF1048" i="1"/>
  <c r="BF1049" i="1"/>
  <c r="BG1049" i="1" s="1"/>
  <c r="BF1050" i="1"/>
  <c r="BF1051" i="1"/>
  <c r="BF1052" i="1"/>
  <c r="BF1053" i="1"/>
  <c r="BG1053" i="1" s="1"/>
  <c r="BF1054" i="1"/>
  <c r="BF1055" i="1"/>
  <c r="BF1056" i="1"/>
  <c r="BF1060" i="1"/>
  <c r="BG1060" i="1" s="1"/>
  <c r="BF1061" i="1"/>
  <c r="BF1062" i="1"/>
  <c r="BF1063" i="1"/>
  <c r="BF1067" i="1"/>
  <c r="BF1072" i="1"/>
  <c r="BF1073" i="1"/>
  <c r="BG1073" i="1" s="1"/>
  <c r="BF1074" i="1"/>
  <c r="BG1074" i="1" s="1"/>
  <c r="BF1075" i="1"/>
  <c r="BF1076" i="1"/>
  <c r="BG1076" i="1" s="1"/>
  <c r="BF1077" i="1"/>
  <c r="BF1078" i="1"/>
  <c r="BF1079" i="1"/>
  <c r="BF1080" i="1"/>
  <c r="BF1081" i="1"/>
  <c r="BF1082" i="1"/>
  <c r="BG1082" i="1" s="1"/>
  <c r="BF1083" i="1"/>
  <c r="BF1084" i="1"/>
  <c r="BG1084" i="1" s="1"/>
  <c r="BF1085" i="1"/>
  <c r="BF1090" i="1"/>
  <c r="BF1094" i="1"/>
  <c r="BF1097" i="1"/>
  <c r="BF1119" i="1"/>
  <c r="BG1119" i="1" s="1"/>
  <c r="BF1120" i="1"/>
  <c r="BF1121" i="1"/>
  <c r="BF1128" i="1"/>
  <c r="BG1128" i="1" s="1"/>
  <c r="BF1130" i="1"/>
  <c r="BF1131" i="1"/>
  <c r="BF1132" i="1"/>
  <c r="BG1132" i="1" s="1"/>
  <c r="BF1133" i="1"/>
  <c r="BF1134" i="1"/>
  <c r="BF1135" i="1"/>
  <c r="BF3" i="1"/>
  <c r="AP303" i="1"/>
  <c r="AP1136" i="1" s="1"/>
  <c r="AO303" i="1"/>
  <c r="AO291" i="1"/>
  <c r="AO289" i="1"/>
  <c r="AO1136" i="1" s="1"/>
  <c r="AU1136" i="1"/>
  <c r="AS1136" i="1"/>
  <c r="AT1136" i="1"/>
  <c r="AQ1136" i="1"/>
  <c r="AX1136" i="1"/>
  <c r="BA1136" i="1"/>
  <c r="CC1135" i="1"/>
  <c r="CB1135" i="1" l="1"/>
  <c r="BF1126" i="1"/>
  <c r="BF1070" i="1"/>
  <c r="BF950" i="1"/>
  <c r="BG950" i="1" s="1"/>
  <c r="BF742" i="1"/>
  <c r="BF646" i="1"/>
  <c r="BF622" i="1"/>
  <c r="BF614" i="1"/>
  <c r="BF574" i="1"/>
  <c r="BF534" i="1"/>
  <c r="BG534" i="1" s="1"/>
  <c r="BF350" i="1"/>
  <c r="BF246" i="1"/>
  <c r="BG246" i="1" s="1"/>
  <c r="BF1035" i="1"/>
  <c r="BG1035" i="1" s="1"/>
  <c r="BF947" i="1"/>
  <c r="BF883" i="1"/>
  <c r="BF859" i="1"/>
  <c r="BF643" i="1"/>
  <c r="BF515" i="1"/>
  <c r="BF427" i="1"/>
  <c r="BG427" i="1" s="1"/>
  <c r="BF347" i="1"/>
  <c r="BF267" i="1"/>
  <c r="BG267" i="1" s="1"/>
  <c r="BF171" i="1"/>
  <c r="BG171" i="1" s="1"/>
  <c r="BF107" i="1"/>
  <c r="BF19" i="1"/>
  <c r="BF1123" i="1"/>
  <c r="BG1123" i="1" s="1"/>
  <c r="BF915" i="1"/>
  <c r="BG915" i="1" s="1"/>
  <c r="BF891" i="1"/>
  <c r="BF763" i="1"/>
  <c r="BG763" i="1" s="1"/>
  <c r="BF739" i="1"/>
  <c r="BF619" i="1"/>
  <c r="BF611" i="1"/>
  <c r="BF571" i="1"/>
  <c r="BG571" i="1" s="1"/>
  <c r="BF531" i="1"/>
  <c r="BF483" i="1"/>
  <c r="BF387" i="1"/>
  <c r="BF179" i="1"/>
  <c r="BF115" i="1"/>
  <c r="BF27" i="1"/>
  <c r="BF536" i="1"/>
  <c r="BG536" i="1" s="1"/>
  <c r="BF432" i="1"/>
  <c r="BF352" i="1"/>
  <c r="BF176" i="1"/>
  <c r="BF24" i="1"/>
  <c r="BF118" i="1"/>
  <c r="BF70" i="1"/>
  <c r="BF30" i="1"/>
  <c r="BF1122" i="1"/>
  <c r="BF1010" i="1"/>
  <c r="BF914" i="1"/>
  <c r="BF890" i="1"/>
  <c r="BG890" i="1" s="1"/>
  <c r="BF738" i="1"/>
  <c r="BG738" i="1" s="1"/>
  <c r="BF626" i="1"/>
  <c r="BF618" i="1"/>
  <c r="BF570" i="1"/>
  <c r="BF530" i="1"/>
  <c r="BG530" i="1" s="1"/>
  <c r="BF482" i="1"/>
  <c r="BG482" i="1" s="1"/>
  <c r="BF178" i="1"/>
  <c r="BG178" i="1" s="1"/>
  <c r="BF114" i="1"/>
  <c r="BF26" i="1"/>
  <c r="BF242" i="1"/>
  <c r="BG242" i="1" s="1"/>
  <c r="BF234" i="1"/>
  <c r="BF226" i="1"/>
  <c r="BG226" i="1" s="1"/>
  <c r="BF146" i="1"/>
  <c r="BF98" i="1"/>
  <c r="BG98" i="1" s="1"/>
  <c r="BF818" i="1"/>
  <c r="BF810" i="1"/>
  <c r="BF754" i="1"/>
  <c r="BF602" i="1"/>
  <c r="BG602" i="1" s="1"/>
  <c r="BF474" i="1"/>
  <c r="BF418" i="1"/>
  <c r="BF410" i="1"/>
  <c r="BF402" i="1"/>
  <c r="BG402" i="1" s="1"/>
  <c r="BF338" i="1"/>
  <c r="BF1066" i="1"/>
  <c r="BF1034" i="1"/>
  <c r="BG1034" i="1" s="1"/>
  <c r="BF946" i="1"/>
  <c r="BF882" i="1"/>
  <c r="BF858" i="1"/>
  <c r="BF826" i="1"/>
  <c r="BG826" i="1" s="1"/>
  <c r="BF514" i="1"/>
  <c r="BF346" i="1"/>
  <c r="BF106" i="1"/>
  <c r="BF66" i="1"/>
  <c r="BG66" i="1" s="1"/>
  <c r="BF18" i="1"/>
  <c r="BF1129" i="1"/>
  <c r="BG1129" i="1" s="1"/>
  <c r="BF1064" i="1"/>
  <c r="BG1064" i="1" s="1"/>
  <c r="BF1032" i="1"/>
  <c r="BF1008" i="1"/>
  <c r="BF953" i="1"/>
  <c r="BF913" i="1"/>
  <c r="BG913" i="1" s="1"/>
  <c r="BF888" i="1"/>
  <c r="BG888" i="1" s="1"/>
  <c r="BF824" i="1"/>
  <c r="BF760" i="1"/>
  <c r="BG760" i="1" s="1"/>
  <c r="BF737" i="1"/>
  <c r="BF649" i="1"/>
  <c r="BF625" i="1"/>
  <c r="BG625" i="1" s="1"/>
  <c r="BF617" i="1"/>
  <c r="BF608" i="1"/>
  <c r="BF512" i="1"/>
  <c r="BG512" i="1" s="1"/>
  <c r="BF480" i="1"/>
  <c r="BG480" i="1" s="1"/>
  <c r="BF433" i="1"/>
  <c r="BF344" i="1"/>
  <c r="BF273" i="1"/>
  <c r="BF177" i="1"/>
  <c r="BF112" i="1"/>
  <c r="BF104" i="1"/>
  <c r="BG104" i="1" s="1"/>
  <c r="BF64" i="1"/>
  <c r="BG64" i="1" s="1"/>
  <c r="BF25" i="1"/>
  <c r="BF16" i="1"/>
  <c r="BF961" i="1"/>
  <c r="BF833" i="1"/>
  <c r="BG833" i="1" s="1"/>
  <c r="BF489" i="1"/>
  <c r="BF305" i="1"/>
  <c r="BF297" i="1"/>
  <c r="BF209" i="1"/>
  <c r="BG209" i="1" s="1"/>
  <c r="BF1088" i="1"/>
  <c r="BF1057" i="1"/>
  <c r="BF960" i="1"/>
  <c r="BG960" i="1" s="1"/>
  <c r="BF664" i="1"/>
  <c r="BG664" i="1" s="1"/>
  <c r="BF585" i="1"/>
  <c r="BF545" i="1"/>
  <c r="BF520" i="1"/>
  <c r="BF488" i="1"/>
  <c r="BF441" i="1"/>
  <c r="BF369" i="1"/>
  <c r="BG369" i="1" s="1"/>
  <c r="BF360" i="1"/>
  <c r="BG360" i="1" s="1"/>
  <c r="BF304" i="1"/>
  <c r="BF137" i="1"/>
  <c r="BF81" i="1"/>
  <c r="BG81" i="1" s="1"/>
  <c r="BF1024" i="1"/>
  <c r="BG1024" i="1" s="1"/>
  <c r="BF993" i="1"/>
  <c r="BG993" i="1" s="1"/>
  <c r="BF968" i="1"/>
  <c r="BF929" i="1"/>
  <c r="BF801" i="1"/>
  <c r="BF793" i="1"/>
  <c r="BF673" i="1"/>
  <c r="BF592" i="1"/>
  <c r="BF584" i="1"/>
  <c r="BF552" i="1"/>
  <c r="BF544" i="1"/>
  <c r="BG544" i="1" s="1"/>
  <c r="BF440" i="1"/>
  <c r="BG440" i="1" s="1"/>
  <c r="BF377" i="1"/>
  <c r="BG377" i="1" s="1"/>
  <c r="BF368" i="1"/>
  <c r="BF321" i="1"/>
  <c r="BG321" i="1" s="1"/>
  <c r="BF313" i="1"/>
  <c r="BF217" i="1"/>
  <c r="BF136" i="1"/>
  <c r="BF80" i="1"/>
  <c r="BF49" i="1"/>
  <c r="BF41" i="1"/>
  <c r="BF1089" i="1"/>
  <c r="BF361" i="1"/>
  <c r="BF289" i="1"/>
  <c r="BF1016" i="1"/>
  <c r="BG1016" i="1" s="1"/>
  <c r="BF872" i="1"/>
  <c r="BF832" i="1"/>
  <c r="BG832" i="1" s="1"/>
  <c r="BF784" i="1"/>
  <c r="BF496" i="1"/>
  <c r="BG496" i="1" s="1"/>
  <c r="BF296" i="1"/>
  <c r="BF288" i="1"/>
  <c r="BF280" i="1"/>
  <c r="BF208" i="1"/>
  <c r="BF129" i="1"/>
  <c r="BF1124" i="1"/>
  <c r="BF1113" i="1"/>
  <c r="BF1105" i="1"/>
  <c r="BF1096" i="1"/>
  <c r="BG1096" i="1" s="1"/>
  <c r="BF1068" i="1"/>
  <c r="BF1001" i="1"/>
  <c r="BF980" i="1"/>
  <c r="BG980" i="1" s="1"/>
  <c r="BF936" i="1"/>
  <c r="BF928" i="1"/>
  <c r="BF916" i="1"/>
  <c r="BF905" i="1"/>
  <c r="BG905" i="1" s="1"/>
  <c r="BF892" i="1"/>
  <c r="BG892" i="1" s="1"/>
  <c r="BF849" i="1"/>
  <c r="BF841" i="1"/>
  <c r="BF800" i="1"/>
  <c r="BF792" i="1"/>
  <c r="BF740" i="1"/>
  <c r="BF729" i="1"/>
  <c r="BG729" i="1" s="1"/>
  <c r="BF705" i="1"/>
  <c r="BF697" i="1"/>
  <c r="BF689" i="1"/>
  <c r="BG689" i="1" s="1"/>
  <c r="BF680" i="1"/>
  <c r="BF672" i="1"/>
  <c r="BG672" i="1" s="1"/>
  <c r="BF620" i="1"/>
  <c r="BF612" i="1"/>
  <c r="BF572" i="1"/>
  <c r="BF561" i="1"/>
  <c r="BF532" i="1"/>
  <c r="BF484" i="1"/>
  <c r="BG484" i="1" s="1"/>
  <c r="BF465" i="1"/>
  <c r="BG465" i="1" s="1"/>
  <c r="BF457" i="1"/>
  <c r="BG457" i="1" s="1"/>
  <c r="BF449" i="1"/>
  <c r="BG449" i="1" s="1"/>
  <c r="BF388" i="1"/>
  <c r="BG388" i="1" s="1"/>
  <c r="BF376" i="1"/>
  <c r="BG376" i="1" s="1"/>
  <c r="BF329" i="1"/>
  <c r="BF320" i="1"/>
  <c r="BG320" i="1" s="1"/>
  <c r="BF180" i="1"/>
  <c r="BF160" i="1"/>
  <c r="BG160" i="1" s="1"/>
  <c r="BF116" i="1"/>
  <c r="BF89" i="1"/>
  <c r="BF68" i="1"/>
  <c r="BF57" i="1"/>
  <c r="BG57" i="1" s="1"/>
  <c r="BF48" i="1"/>
  <c r="BF40" i="1"/>
  <c r="BF28" i="1"/>
  <c r="BF8" i="1"/>
  <c r="BF865" i="1"/>
  <c r="BF1112" i="1"/>
  <c r="BF1000" i="1"/>
  <c r="BF977" i="1"/>
  <c r="BG977" i="1" s="1"/>
  <c r="BF904" i="1"/>
  <c r="BF848" i="1"/>
  <c r="BF817" i="1"/>
  <c r="BF808" i="1"/>
  <c r="BF688" i="1"/>
  <c r="BF464" i="1"/>
  <c r="BF456" i="1"/>
  <c r="BF448" i="1"/>
  <c r="BF417" i="1"/>
  <c r="BF337" i="1"/>
  <c r="BF225" i="1"/>
  <c r="BF88" i="1"/>
  <c r="BG88" i="1" s="1"/>
  <c r="BF56" i="1"/>
  <c r="BF1017" i="1"/>
  <c r="BG1017" i="1" s="1"/>
  <c r="BF497" i="1"/>
  <c r="BF281" i="1"/>
  <c r="BF1104" i="1"/>
  <c r="BF728" i="1"/>
  <c r="BG728" i="1" s="1"/>
  <c r="BF704" i="1"/>
  <c r="BF696" i="1"/>
  <c r="BF641" i="1"/>
  <c r="BF601" i="1"/>
  <c r="BF473" i="1"/>
  <c r="BF425" i="1"/>
  <c r="BF409" i="1"/>
  <c r="BG409" i="1" s="1"/>
  <c r="BF401" i="1"/>
  <c r="BF328" i="1"/>
  <c r="BG328" i="1" s="1"/>
  <c r="BF265" i="1"/>
  <c r="BF241" i="1"/>
  <c r="BF233" i="1"/>
  <c r="BF169" i="1"/>
  <c r="BF145" i="1"/>
  <c r="BF97" i="1"/>
  <c r="BG97" i="1" s="1"/>
  <c r="BF1065" i="1"/>
  <c r="BG1065" i="1" s="1"/>
  <c r="BF1033" i="1"/>
  <c r="BF976" i="1"/>
  <c r="BF944" i="1"/>
  <c r="BF881" i="1"/>
  <c r="BF856" i="1"/>
  <c r="BG856" i="1" s="1"/>
  <c r="BF825" i="1"/>
  <c r="BF816" i="1"/>
  <c r="BF761" i="1"/>
  <c r="BF712" i="1"/>
  <c r="BF609" i="1"/>
  <c r="BG609" i="1" s="1"/>
  <c r="BF600" i="1"/>
  <c r="BF513" i="1"/>
  <c r="BF472" i="1"/>
  <c r="BF424" i="1"/>
  <c r="BF416" i="1"/>
  <c r="BF408" i="1"/>
  <c r="BF384" i="1"/>
  <c r="BG384" i="1" s="1"/>
  <c r="BF345" i="1"/>
  <c r="BF336" i="1"/>
  <c r="BG336" i="1" s="1"/>
  <c r="BF264" i="1"/>
  <c r="BF240" i="1"/>
  <c r="BF232" i="1"/>
  <c r="BG232" i="1" s="1"/>
  <c r="BF224" i="1"/>
  <c r="BF168" i="1"/>
  <c r="BG168" i="1" s="1"/>
  <c r="BF144" i="1"/>
  <c r="BG144" i="1" s="1"/>
  <c r="BF105" i="1"/>
  <c r="BF96" i="1"/>
  <c r="BF65" i="1"/>
  <c r="BF17" i="1"/>
  <c r="BF1091" i="1"/>
  <c r="BG1091" i="1" s="1"/>
  <c r="BF1018" i="1"/>
  <c r="BF963" i="1"/>
  <c r="BF866" i="1"/>
  <c r="BF834" i="1"/>
  <c r="BF490" i="1"/>
  <c r="BG490" i="1" s="1"/>
  <c r="BF306" i="1"/>
  <c r="BF298" i="1"/>
  <c r="BF290" i="1"/>
  <c r="BF282" i="1"/>
  <c r="BF210" i="1"/>
  <c r="BF34" i="1"/>
  <c r="BF491" i="1"/>
  <c r="BG491" i="1" s="1"/>
  <c r="BF1058" i="1"/>
  <c r="BF874" i="1"/>
  <c r="BF795" i="1"/>
  <c r="BF786" i="1"/>
  <c r="BF666" i="1"/>
  <c r="BG666" i="1" s="1"/>
  <c r="BF586" i="1"/>
  <c r="BF546" i="1"/>
  <c r="BF443" i="1"/>
  <c r="BG443" i="1" s="1"/>
  <c r="BF379" i="1"/>
  <c r="BF370" i="1"/>
  <c r="BF130" i="1"/>
  <c r="BF899" i="1"/>
  <c r="BG899" i="1" s="1"/>
  <c r="BF299" i="1"/>
  <c r="BF1115" i="1"/>
  <c r="BF994" i="1"/>
  <c r="BF970" i="1"/>
  <c r="BF930" i="1"/>
  <c r="BF802" i="1"/>
  <c r="BG802" i="1" s="1"/>
  <c r="BF794" i="1"/>
  <c r="BG794" i="1" s="1"/>
  <c r="BF674" i="1"/>
  <c r="BF634" i="1"/>
  <c r="BG634" i="1" s="1"/>
  <c r="BF554" i="1"/>
  <c r="BG554" i="1" s="1"/>
  <c r="BF394" i="1"/>
  <c r="BF378" i="1"/>
  <c r="BF322" i="1"/>
  <c r="BF314" i="1"/>
  <c r="BF218" i="1"/>
  <c r="BG218" i="1" s="1"/>
  <c r="BF50" i="1"/>
  <c r="BF42" i="1"/>
  <c r="BF1114" i="1"/>
  <c r="BF1106" i="1"/>
  <c r="BF1098" i="1"/>
  <c r="BF1002" i="1"/>
  <c r="BF938" i="1"/>
  <c r="BF860" i="1"/>
  <c r="BG860" i="1" s="1"/>
  <c r="BF850" i="1"/>
  <c r="BF842" i="1"/>
  <c r="BF730" i="1"/>
  <c r="BG730" i="1" s="1"/>
  <c r="BF706" i="1"/>
  <c r="BG706" i="1" s="1"/>
  <c r="BF698" i="1"/>
  <c r="BG698" i="1" s="1"/>
  <c r="BF690" i="1"/>
  <c r="BF682" i="1"/>
  <c r="BF621" i="1"/>
  <c r="BF573" i="1"/>
  <c r="BF562" i="1"/>
  <c r="BG562" i="1" s="1"/>
  <c r="BF466" i="1"/>
  <c r="BF458" i="1"/>
  <c r="BG458" i="1" s="1"/>
  <c r="BF450" i="1"/>
  <c r="BG450" i="1" s="1"/>
  <c r="BF330" i="1"/>
  <c r="BG330" i="1" s="1"/>
  <c r="BF227" i="1"/>
  <c r="BG227" i="1" s="1"/>
  <c r="BF162" i="1"/>
  <c r="BF90" i="1"/>
  <c r="BF58" i="1"/>
  <c r="BF1086" i="1"/>
  <c r="BF286" i="1"/>
  <c r="BF1013" i="1"/>
  <c r="BF541" i="1"/>
  <c r="BF301" i="1"/>
  <c r="BF77" i="1"/>
  <c r="BF1101" i="1"/>
  <c r="BG1101" i="1" s="1"/>
  <c r="BF1116" i="1"/>
  <c r="BF1100" i="1"/>
  <c r="BF1030" i="1"/>
  <c r="BF1006" i="1"/>
  <c r="BG1006" i="1" s="1"/>
  <c r="BF972" i="1"/>
  <c r="BF886" i="1"/>
  <c r="BF844" i="1"/>
  <c r="BF821" i="1"/>
  <c r="BG821" i="1" s="1"/>
  <c r="BF758" i="1"/>
  <c r="BG758" i="1" s="1"/>
  <c r="BF732" i="1"/>
  <c r="BF700" i="1"/>
  <c r="BG700" i="1" s="1"/>
  <c r="BF684" i="1"/>
  <c r="BF525" i="1"/>
  <c r="BF509" i="1"/>
  <c r="BF460" i="1"/>
  <c r="BF174" i="1"/>
  <c r="BF102" i="1"/>
  <c r="BF958" i="1"/>
  <c r="BF782" i="1"/>
  <c r="BF310" i="1"/>
  <c r="BF966" i="1"/>
  <c r="BF134" i="1"/>
  <c r="BF1020" i="1"/>
  <c r="BF926" i="1"/>
  <c r="BG926" i="1" s="1"/>
  <c r="BF836" i="1"/>
  <c r="BF798" i="1"/>
  <c r="BF750" i="1"/>
  <c r="BF660" i="1"/>
  <c r="BF540" i="1"/>
  <c r="BF492" i="1"/>
  <c r="BF300" i="1"/>
  <c r="BF158" i="1"/>
  <c r="BG158" i="1" s="1"/>
  <c r="BF990" i="1"/>
  <c r="BF493" i="1"/>
  <c r="BG493" i="1" s="1"/>
  <c r="BF374" i="1"/>
  <c r="BF1118" i="1"/>
  <c r="BF1102" i="1"/>
  <c r="BF988" i="1"/>
  <c r="BF974" i="1"/>
  <c r="BG974" i="1" s="1"/>
  <c r="BF878" i="1"/>
  <c r="BG878" i="1" s="1"/>
  <c r="BF846" i="1"/>
  <c r="BF445" i="1"/>
  <c r="BG445" i="1" s="1"/>
  <c r="BF252" i="1"/>
  <c r="BG252" i="1" s="1"/>
  <c r="BF1022" i="1"/>
  <c r="BF1014" i="1"/>
  <c r="BG1014" i="1" s="1"/>
  <c r="BF302" i="1"/>
  <c r="BF366" i="1"/>
  <c r="BF973" i="1"/>
  <c r="BF942" i="1"/>
  <c r="BF845" i="1"/>
  <c r="BF822" i="1"/>
  <c r="BF814" i="1"/>
  <c r="BF796" i="1"/>
  <c r="BF701" i="1"/>
  <c r="BG701" i="1" s="1"/>
  <c r="BF685" i="1"/>
  <c r="BG685" i="1" s="1"/>
  <c r="BF444" i="1"/>
  <c r="BF414" i="1"/>
  <c r="BG414" i="1" s="1"/>
  <c r="BF380" i="1"/>
  <c r="BF262" i="1"/>
  <c r="BF238" i="1"/>
  <c r="BG238" i="1" s="1"/>
  <c r="BF94" i="1"/>
  <c r="BF932" i="1"/>
  <c r="BG932" i="1" s="1"/>
  <c r="BF804" i="1"/>
  <c r="BG804" i="1" s="1"/>
  <c r="BF556" i="1"/>
  <c r="BG556" i="1" s="1"/>
  <c r="BF324" i="1"/>
  <c r="BF668" i="1"/>
  <c r="BF636" i="1"/>
  <c r="BG636" i="1" s="1"/>
  <c r="BF588" i="1"/>
  <c r="BF987" i="1"/>
  <c r="BF835" i="1"/>
  <c r="BG835" i="1" s="1"/>
  <c r="BF667" i="1"/>
  <c r="BF587" i="1"/>
  <c r="BF555" i="1"/>
  <c r="BF251" i="1"/>
  <c r="BG251" i="1" s="1"/>
  <c r="BF997" i="1"/>
  <c r="BF933" i="1"/>
  <c r="BG933" i="1" s="1"/>
  <c r="BF869" i="1"/>
  <c r="BF781" i="1"/>
  <c r="BG781" i="1" s="1"/>
  <c r="BF669" i="1"/>
  <c r="BG669" i="1" s="1"/>
  <c r="BF637" i="1"/>
  <c r="BF589" i="1"/>
  <c r="BF557" i="1"/>
  <c r="BG557" i="1" s="1"/>
  <c r="BF461" i="1"/>
  <c r="BF405" i="1"/>
  <c r="BF325" i="1"/>
  <c r="BF661" i="1"/>
  <c r="BF868" i="1"/>
  <c r="BF1093" i="1"/>
  <c r="BF989" i="1"/>
  <c r="BG989" i="1" s="1"/>
  <c r="BF549" i="1"/>
  <c r="BF797" i="1"/>
  <c r="BF789" i="1"/>
  <c r="BG789" i="1" s="1"/>
  <c r="BF749" i="1"/>
  <c r="BF677" i="1"/>
  <c r="BF659" i="1"/>
  <c r="BF580" i="1"/>
  <c r="BF548" i="1"/>
  <c r="BF500" i="1"/>
  <c r="BF364" i="1"/>
  <c r="BF307" i="1"/>
  <c r="BF291" i="1"/>
  <c r="BF283" i="1"/>
  <c r="BF211" i="1"/>
  <c r="BF157" i="1"/>
  <c r="BG157" i="1" s="1"/>
  <c r="BF132" i="1"/>
  <c r="BG132" i="1" s="1"/>
  <c r="BF1021" i="1"/>
  <c r="BF285" i="1"/>
  <c r="BF501" i="1"/>
  <c r="BF365" i="1"/>
  <c r="BF133" i="1"/>
  <c r="BG133" i="1" s="1"/>
  <c r="BF1019" i="1"/>
  <c r="BG1019" i="1" s="1"/>
  <c r="BF867" i="1"/>
  <c r="BF1117" i="1"/>
  <c r="BF1109" i="1"/>
  <c r="BF1059" i="1"/>
  <c r="BF876" i="1"/>
  <c r="BF853" i="1"/>
  <c r="BG853" i="1" s="1"/>
  <c r="BF787" i="1"/>
  <c r="BF725" i="1"/>
  <c r="BF693" i="1"/>
  <c r="BF676" i="1"/>
  <c r="BF579" i="1"/>
  <c r="BF547" i="1"/>
  <c r="BG547" i="1" s="1"/>
  <c r="BF499" i="1"/>
  <c r="BG499" i="1" s="1"/>
  <c r="BF453" i="1"/>
  <c r="BF371" i="1"/>
  <c r="BG371" i="1" s="1"/>
  <c r="BF363" i="1"/>
  <c r="BF316" i="1"/>
  <c r="BG316" i="1" s="1"/>
  <c r="BF131" i="1"/>
  <c r="BF52" i="1"/>
  <c r="BF44" i="1"/>
  <c r="BF4" i="1"/>
  <c r="BF957" i="1"/>
  <c r="BG957" i="1" s="1"/>
  <c r="BF965" i="1"/>
  <c r="BF581" i="1"/>
  <c r="BF213" i="1"/>
  <c r="BG213" i="1" s="1"/>
  <c r="BF1092" i="1"/>
  <c r="BF964" i="1"/>
  <c r="BF1108" i="1"/>
  <c r="BG1108" i="1" s="1"/>
  <c r="BF995" i="1"/>
  <c r="BF941" i="1"/>
  <c r="BG941" i="1" s="1"/>
  <c r="BF931" i="1"/>
  <c r="BF852" i="1"/>
  <c r="BG852" i="1" s="1"/>
  <c r="BF813" i="1"/>
  <c r="BF803" i="1"/>
  <c r="BF724" i="1"/>
  <c r="BF708" i="1"/>
  <c r="BG708" i="1" s="1"/>
  <c r="BF692" i="1"/>
  <c r="BF675" i="1"/>
  <c r="BF597" i="1"/>
  <c r="BF564" i="1"/>
  <c r="BF469" i="1"/>
  <c r="BG469" i="1" s="1"/>
  <c r="BF452" i="1"/>
  <c r="BF413" i="1"/>
  <c r="BG413" i="1" s="1"/>
  <c r="BF395" i="1"/>
  <c r="BG395" i="1" s="1"/>
  <c r="BF323" i="1"/>
  <c r="BF315" i="1"/>
  <c r="BF261" i="1"/>
  <c r="BF237" i="1"/>
  <c r="BG237" i="1" s="1"/>
  <c r="BF139" i="1"/>
  <c r="BF83" i="1"/>
  <c r="BG83" i="1" s="1"/>
  <c r="BF51" i="1"/>
  <c r="BF43" i="1"/>
  <c r="BF1037" i="1"/>
  <c r="BF1027" i="1"/>
  <c r="BF1005" i="1"/>
  <c r="BG1005" i="1" s="1"/>
  <c r="BF908" i="1"/>
  <c r="BG908" i="1" s="1"/>
  <c r="BF885" i="1"/>
  <c r="BG885" i="1" s="1"/>
  <c r="BF851" i="1"/>
  <c r="BF843" i="1"/>
  <c r="BF820" i="1"/>
  <c r="BF812" i="1"/>
  <c r="BG812" i="1" s="1"/>
  <c r="BF756" i="1"/>
  <c r="BF731" i="1"/>
  <c r="BG731" i="1" s="1"/>
  <c r="BF707" i="1"/>
  <c r="BF699" i="1"/>
  <c r="BF691" i="1"/>
  <c r="BF683" i="1"/>
  <c r="BF604" i="1"/>
  <c r="BF596" i="1"/>
  <c r="BG596" i="1" s="1"/>
  <c r="BF563" i="1"/>
  <c r="BF508" i="1"/>
  <c r="BF477" i="1"/>
  <c r="BG477" i="1" s="1"/>
  <c r="BF468" i="1"/>
  <c r="BG468" i="1" s="1"/>
  <c r="BF459" i="1"/>
  <c r="BG459" i="1" s="1"/>
  <c r="BF451" i="1"/>
  <c r="BG451" i="1" s="1"/>
  <c r="BF429" i="1"/>
  <c r="BF420" i="1"/>
  <c r="BG420" i="1" s="1"/>
  <c r="BF412" i="1"/>
  <c r="BF404" i="1"/>
  <c r="BG404" i="1" s="1"/>
  <c r="BF341" i="1"/>
  <c r="BG341" i="1" s="1"/>
  <c r="BF331" i="1"/>
  <c r="BF269" i="1"/>
  <c r="BF260" i="1"/>
  <c r="BG260" i="1" s="1"/>
  <c r="BF236" i="1"/>
  <c r="BF228" i="1"/>
  <c r="BF173" i="1"/>
  <c r="BF163" i="1"/>
  <c r="BF149" i="1"/>
  <c r="BF109" i="1"/>
  <c r="BG109" i="1" s="1"/>
  <c r="BF100" i="1"/>
  <c r="BF91" i="1"/>
  <c r="BF59" i="1"/>
  <c r="BF21" i="1"/>
  <c r="BF12" i="1"/>
  <c r="BF1107" i="1"/>
  <c r="BF1099" i="1"/>
  <c r="BF939" i="1"/>
  <c r="BG939" i="1" s="1"/>
  <c r="BF1125" i="1"/>
  <c r="BF1069" i="1"/>
  <c r="BF1036" i="1"/>
  <c r="BG1036" i="1" s="1"/>
  <c r="BF981" i="1"/>
  <c r="BF948" i="1"/>
  <c r="BF907" i="1"/>
  <c r="BG907" i="1" s="1"/>
  <c r="BF884" i="1"/>
  <c r="BF819" i="1"/>
  <c r="BG819" i="1" s="1"/>
  <c r="BF811" i="1"/>
  <c r="BF755" i="1"/>
  <c r="BF741" i="1"/>
  <c r="BF645" i="1"/>
  <c r="BF613" i="1"/>
  <c r="BF603" i="1"/>
  <c r="BF533" i="1"/>
  <c r="BG533" i="1" s="1"/>
  <c r="BF507" i="1"/>
  <c r="BF475" i="1"/>
  <c r="BG475" i="1" s="1"/>
  <c r="BF428" i="1"/>
  <c r="BG428" i="1" s="1"/>
  <c r="BF419" i="1"/>
  <c r="BG419" i="1" s="1"/>
  <c r="BF411" i="1"/>
  <c r="BF403" i="1"/>
  <c r="BG403" i="1" s="1"/>
  <c r="BF389" i="1"/>
  <c r="BF348" i="1"/>
  <c r="BG348" i="1" s="1"/>
  <c r="BF340" i="1"/>
  <c r="BG340" i="1" s="1"/>
  <c r="BF268" i="1"/>
  <c r="BG268" i="1" s="1"/>
  <c r="BF259" i="1"/>
  <c r="BF244" i="1"/>
  <c r="BF235" i="1"/>
  <c r="BF172" i="1"/>
  <c r="BF147" i="1"/>
  <c r="BG147" i="1" s="1"/>
  <c r="BF117" i="1"/>
  <c r="BG117" i="1" s="1"/>
  <c r="BF108" i="1"/>
  <c r="BG108" i="1" s="1"/>
  <c r="BF99" i="1"/>
  <c r="BF69" i="1"/>
  <c r="BF29" i="1"/>
  <c r="BF20" i="1"/>
  <c r="BF11" i="1"/>
  <c r="BF1110" i="1"/>
  <c r="BG1110" i="1" s="1"/>
  <c r="BF998" i="1"/>
  <c r="BF934" i="1"/>
  <c r="BF870" i="1"/>
  <c r="BF854" i="1"/>
  <c r="BF806" i="1"/>
  <c r="BF790" i="1"/>
  <c r="BF726" i="1"/>
  <c r="BF222" i="1"/>
  <c r="BF871" i="1"/>
  <c r="BF303" i="1"/>
  <c r="BF279" i="1"/>
  <c r="BF967" i="1"/>
  <c r="BG967" i="1" s="1"/>
  <c r="BF551" i="1"/>
  <c r="BG551" i="1" s="1"/>
  <c r="BF542" i="1"/>
  <c r="BF438" i="1"/>
  <c r="BF255" i="1"/>
  <c r="BF135" i="1"/>
  <c r="BF799" i="1"/>
  <c r="BF502" i="1"/>
  <c r="BG502" i="1" s="1"/>
  <c r="BF319" i="1"/>
  <c r="BF309" i="1"/>
  <c r="BF254" i="1"/>
  <c r="BF159" i="1"/>
  <c r="BF47" i="1"/>
  <c r="BF7" i="1"/>
  <c r="BF1111" i="1"/>
  <c r="BF1103" i="1"/>
  <c r="BF999" i="1"/>
  <c r="BF903" i="1"/>
  <c r="BF847" i="1"/>
  <c r="BG847" i="1" s="1"/>
  <c r="BF807" i="1"/>
  <c r="BF727" i="1"/>
  <c r="BF703" i="1"/>
  <c r="BG703" i="1" s="1"/>
  <c r="BF695" i="1"/>
  <c r="BG695" i="1" s="1"/>
  <c r="BF687" i="1"/>
  <c r="BF678" i="1"/>
  <c r="BF639" i="1"/>
  <c r="BF558" i="1"/>
  <c r="BG558" i="1" s="1"/>
  <c r="BF463" i="1"/>
  <c r="BF455" i="1"/>
  <c r="BF447" i="1"/>
  <c r="BG447" i="1" s="1"/>
  <c r="BF399" i="1"/>
  <c r="BF373" i="1"/>
  <c r="BF327" i="1"/>
  <c r="BF318" i="1"/>
  <c r="BF308" i="1"/>
  <c r="BF292" i="1"/>
  <c r="BF284" i="1"/>
  <c r="BF253" i="1"/>
  <c r="BF87" i="1"/>
  <c r="BF55" i="1"/>
  <c r="BF46" i="1"/>
  <c r="BF37" i="1"/>
  <c r="BF6" i="1"/>
  <c r="BF295" i="1"/>
  <c r="BF662" i="1"/>
  <c r="BF583" i="1"/>
  <c r="BF494" i="1"/>
  <c r="BF215" i="1"/>
  <c r="BG215" i="1" s="1"/>
  <c r="BF791" i="1"/>
  <c r="BF751" i="1"/>
  <c r="BF582" i="1"/>
  <c r="BF214" i="1"/>
  <c r="BG214" i="1" s="1"/>
  <c r="BF38" i="1"/>
  <c r="BF943" i="1"/>
  <c r="BF815" i="1"/>
  <c r="BG815" i="1" s="1"/>
  <c r="BF711" i="1"/>
  <c r="BF702" i="1"/>
  <c r="BF694" i="1"/>
  <c r="BF686" i="1"/>
  <c r="BF638" i="1"/>
  <c r="BF599" i="1"/>
  <c r="BG599" i="1" s="1"/>
  <c r="BF567" i="1"/>
  <c r="BF527" i="1"/>
  <c r="BG527" i="1" s="1"/>
  <c r="BF471" i="1"/>
  <c r="BF462" i="1"/>
  <c r="BG462" i="1" s="1"/>
  <c r="BF454" i="1"/>
  <c r="BF423" i="1"/>
  <c r="BF415" i="1"/>
  <c r="BF407" i="1"/>
  <c r="BG407" i="1" s="1"/>
  <c r="BF398" i="1"/>
  <c r="BF382" i="1"/>
  <c r="BG382" i="1" s="1"/>
  <c r="BF372" i="1"/>
  <c r="BF335" i="1"/>
  <c r="BG335" i="1" s="1"/>
  <c r="BF317" i="1"/>
  <c r="BF263" i="1"/>
  <c r="BG263" i="1" s="1"/>
  <c r="BF239" i="1"/>
  <c r="BF231" i="1"/>
  <c r="BF223" i="1"/>
  <c r="BF166" i="1"/>
  <c r="BF142" i="1"/>
  <c r="BF95" i="1"/>
  <c r="BG95" i="1" s="1"/>
  <c r="BF86" i="1"/>
  <c r="BF54" i="1"/>
  <c r="BF45" i="1"/>
  <c r="BF36" i="1"/>
  <c r="BF5" i="1"/>
  <c r="BF1015" i="1"/>
  <c r="BG1015" i="1" s="1"/>
  <c r="BF495" i="1"/>
  <c r="BG495" i="1" s="1"/>
  <c r="BF287" i="1"/>
  <c r="BF991" i="1"/>
  <c r="BG991" i="1" s="1"/>
  <c r="BF591" i="1"/>
  <c r="BF503" i="1"/>
  <c r="BG503" i="1" s="1"/>
  <c r="BF78" i="1"/>
  <c r="BF935" i="1"/>
  <c r="BF927" i="1"/>
  <c r="BF839" i="1"/>
  <c r="BF679" i="1"/>
  <c r="BG679" i="1" s="1"/>
  <c r="BF670" i="1"/>
  <c r="BG670" i="1" s="1"/>
  <c r="BF559" i="1"/>
  <c r="BF550" i="1"/>
  <c r="BF1031" i="1"/>
  <c r="BG1031" i="1" s="1"/>
  <c r="BF1007" i="1"/>
  <c r="BG1007" i="1" s="1"/>
  <c r="BF887" i="1"/>
  <c r="BF759" i="1"/>
  <c r="BF735" i="1"/>
  <c r="BG735" i="1" s="1"/>
  <c r="BF710" i="1"/>
  <c r="BG710" i="1" s="1"/>
  <c r="BF607" i="1"/>
  <c r="BF598" i="1"/>
  <c r="BF566" i="1"/>
  <c r="BF526" i="1"/>
  <c r="BF511" i="1"/>
  <c r="BF479" i="1"/>
  <c r="BF470" i="1"/>
  <c r="BF422" i="1"/>
  <c r="BG422" i="1" s="1"/>
  <c r="BF406" i="1"/>
  <c r="BF397" i="1"/>
  <c r="BF343" i="1"/>
  <c r="BF334" i="1"/>
  <c r="BG334" i="1" s="1"/>
  <c r="BF271" i="1"/>
  <c r="BF230" i="1"/>
  <c r="BG230" i="1" s="1"/>
  <c r="BF165" i="1"/>
  <c r="BG165" i="1" s="1"/>
  <c r="BF141" i="1"/>
  <c r="BG141" i="1" s="1"/>
  <c r="BF111" i="1"/>
  <c r="BF103" i="1"/>
  <c r="BG103" i="1" s="1"/>
  <c r="BF85" i="1"/>
  <c r="BF63" i="1"/>
  <c r="BG63" i="1" s="1"/>
  <c r="BF15" i="1"/>
  <c r="BF1087" i="1"/>
  <c r="BF959" i="1"/>
  <c r="BG959" i="1" s="1"/>
  <c r="BF831" i="1"/>
  <c r="BF783" i="1"/>
  <c r="BG783" i="1" s="1"/>
  <c r="BF663" i="1"/>
  <c r="BF359" i="1"/>
  <c r="BG359" i="1" s="1"/>
  <c r="BF367" i="1"/>
  <c r="BF294" i="1"/>
  <c r="BF1095" i="1"/>
  <c r="BF590" i="1"/>
  <c r="BF293" i="1"/>
  <c r="BF1127" i="1"/>
  <c r="BF1071" i="1"/>
  <c r="BF1039" i="1"/>
  <c r="BF951" i="1"/>
  <c r="BF911" i="1"/>
  <c r="BG911" i="1" s="1"/>
  <c r="BF647" i="1"/>
  <c r="BG647" i="1" s="1"/>
  <c r="BF623" i="1"/>
  <c r="BF615" i="1"/>
  <c r="BF606" i="1"/>
  <c r="BG606" i="1" s="1"/>
  <c r="BF575" i="1"/>
  <c r="BF478" i="1"/>
  <c r="BF431" i="1"/>
  <c r="BF421" i="1"/>
  <c r="BG421" i="1" s="1"/>
  <c r="BF351" i="1"/>
  <c r="BF342" i="1"/>
  <c r="BG342" i="1" s="1"/>
  <c r="BF332" i="1"/>
  <c r="BF270" i="1"/>
  <c r="BF229" i="1"/>
  <c r="BG229" i="1" s="1"/>
  <c r="BF220" i="1"/>
  <c r="BF164" i="1"/>
  <c r="BF151" i="1"/>
  <c r="BF119" i="1"/>
  <c r="BF110" i="1"/>
  <c r="BF93" i="1"/>
  <c r="BG93" i="1" s="1"/>
  <c r="BF71" i="1"/>
  <c r="BF60" i="1"/>
  <c r="BF23" i="1"/>
  <c r="BF14" i="1"/>
  <c r="AW1136" i="1"/>
  <c r="AY1136" i="1"/>
  <c r="CD1135" i="1"/>
  <c r="AV1136" i="1"/>
  <c r="BE1136" i="1" l="1"/>
  <c r="BD1136" i="1"/>
  <c r="AL1136" i="1" l="1"/>
  <c r="AF1136" i="1"/>
  <c r="AM1136" i="1"/>
  <c r="AI1136" i="1" l="1"/>
  <c r="AH1136" i="1"/>
  <c r="AK1136" i="1"/>
  <c r="AJ1136" i="1"/>
  <c r="AG1136" i="1"/>
  <c r="AE1136" i="1"/>
  <c r="AD1136" i="1"/>
  <c r="AB1136" i="1" l="1"/>
  <c r="W1136" i="1"/>
  <c r="BF1136" i="1" l="1"/>
  <c r="AA1136" i="1"/>
  <c r="Z1136" i="1"/>
  <c r="X1136" i="1"/>
  <c r="Y1136" i="1"/>
  <c r="V1136" i="1" l="1"/>
  <c r="S464" i="1" l="1"/>
  <c r="Q464" i="1"/>
  <c r="I464" i="1"/>
  <c r="S1051" i="1"/>
  <c r="Q1051" i="1"/>
  <c r="I1051" i="1"/>
  <c r="S318" i="1"/>
  <c r="I318" i="1"/>
  <c r="Q318" i="1"/>
  <c r="I963" i="1"/>
  <c r="S963" i="1" l="1"/>
  <c r="Q963" i="1"/>
  <c r="Q412" i="1"/>
  <c r="S412" i="1"/>
  <c r="I412" i="1"/>
  <c r="S410" i="1"/>
  <c r="Q410" i="1"/>
  <c r="I410" i="1"/>
  <c r="S953" i="1"/>
  <c r="Q953" i="1"/>
  <c r="I953" i="1"/>
  <c r="S771" i="1"/>
  <c r="Q771" i="1"/>
  <c r="I771" i="1"/>
  <c r="S725" i="1"/>
  <c r="Q725" i="1"/>
  <c r="I725" i="1"/>
  <c r="S374" i="1"/>
  <c r="Q374" i="1"/>
  <c r="I374" i="1"/>
  <c r="S366" i="1"/>
  <c r="Q366" i="1"/>
  <c r="I366" i="1"/>
  <c r="S1057" i="1"/>
  <c r="Q1057" i="1"/>
  <c r="I1057" i="1"/>
  <c r="S1050" i="1"/>
  <c r="Q1050" i="1"/>
  <c r="I1050" i="1"/>
  <c r="S314" i="1"/>
  <c r="Q314" i="1"/>
  <c r="I314" i="1"/>
  <c r="S473" i="1"/>
  <c r="Q473" i="1"/>
  <c r="I473" i="1"/>
  <c r="S816" i="1"/>
  <c r="Q816" i="1"/>
  <c r="I816" i="1"/>
  <c r="Q620" i="1"/>
  <c r="S620" i="1"/>
  <c r="I620" i="1"/>
  <c r="S478" i="1"/>
  <c r="Q478" i="1"/>
  <c r="I478" i="1"/>
  <c r="S368" i="1"/>
  <c r="Q368" i="1"/>
  <c r="I368" i="1"/>
  <c r="S561" i="1"/>
  <c r="Q561" i="1"/>
  <c r="I561" i="1"/>
  <c r="S797" i="1"/>
  <c r="Q797" i="1"/>
  <c r="I797" i="1"/>
  <c r="S470" i="1"/>
  <c r="Q470" i="1"/>
  <c r="I470" i="1"/>
  <c r="S707" i="1"/>
  <c r="Q707" i="1"/>
  <c r="I707" i="1"/>
  <c r="S319" i="1"/>
  <c r="Q319" i="1"/>
  <c r="I319" i="1"/>
  <c r="S796" i="1"/>
  <c r="Q796" i="1"/>
  <c r="I796" i="1"/>
  <c r="S717" i="1"/>
  <c r="Q717" i="1"/>
  <c r="I717" i="1"/>
  <c r="S308" i="1"/>
  <c r="N308" i="1"/>
  <c r="F308" i="1"/>
  <c r="S820" i="1"/>
  <c r="Q820" i="1"/>
  <c r="I820" i="1"/>
  <c r="S303" i="1"/>
  <c r="N303" i="1"/>
  <c r="F303" i="1"/>
  <c r="I1068" i="1"/>
  <c r="S1068" i="1"/>
  <c r="Q1068" i="1"/>
  <c r="I378" i="1"/>
  <c r="S378" i="1"/>
  <c r="Q378" i="1"/>
  <c r="S307" i="1"/>
  <c r="N307" i="1"/>
  <c r="S306" i="1"/>
  <c r="N306" i="1"/>
  <c r="I1052" i="1"/>
  <c r="S1052" i="1"/>
  <c r="Q1052" i="1"/>
  <c r="I958" i="1"/>
  <c r="S958" i="1"/>
  <c r="Q958" i="1"/>
  <c r="I548" i="1"/>
  <c r="S548" i="1"/>
  <c r="Q548" i="1"/>
  <c r="S302" i="1"/>
  <c r="N302" i="1"/>
  <c r="S310" i="1"/>
  <c r="N310" i="1"/>
  <c r="S567" i="1"/>
  <c r="Q567" i="1"/>
  <c r="S304" i="1"/>
  <c r="N304" i="1"/>
  <c r="S309" i="1"/>
  <c r="N309" i="1"/>
  <c r="S305" i="1"/>
  <c r="N305" i="1"/>
  <c r="S683" i="1"/>
  <c r="Q683" i="1"/>
  <c r="I683" i="1"/>
  <c r="I564" i="1"/>
  <c r="S564" i="1"/>
  <c r="Q564" i="1"/>
  <c r="I965" i="1"/>
  <c r="S965" i="1"/>
  <c r="Q965" i="1"/>
  <c r="I573" i="1"/>
  <c r="S573" i="1"/>
  <c r="Q573" i="1"/>
  <c r="I693" i="1"/>
  <c r="S693" i="1"/>
  <c r="Q693" i="1"/>
  <c r="I623" i="1"/>
  <c r="S623" i="1"/>
  <c r="Q623" i="1"/>
  <c r="I315" i="1"/>
  <c r="S315" i="1"/>
  <c r="Q315" i="1"/>
  <c r="I613" i="1"/>
  <c r="I704" i="1"/>
  <c r="S704" i="1"/>
  <c r="Q704" i="1"/>
  <c r="I313" i="1"/>
  <c r="S313" i="1"/>
  <c r="Q313" i="1"/>
  <c r="S613" i="1"/>
  <c r="Q613" i="1"/>
  <c r="I624" i="1"/>
  <c r="S624" i="1"/>
  <c r="Q624" i="1"/>
  <c r="S301" i="1"/>
  <c r="N301" i="1"/>
  <c r="I587" i="1"/>
  <c r="Q587" i="1"/>
  <c r="S587" i="1"/>
  <c r="S300" i="1"/>
  <c r="N300" i="1"/>
  <c r="S299" i="1"/>
  <c r="N299" i="1"/>
  <c r="S298" i="1"/>
  <c r="N298" i="1"/>
  <c r="I1081" i="1"/>
  <c r="S1081" i="1"/>
  <c r="Q1081" i="1"/>
  <c r="I1111" i="1"/>
  <c r="S1111" i="1"/>
  <c r="Q1111" i="1"/>
  <c r="S1124" i="1"/>
  <c r="Q1124" i="1"/>
  <c r="S1126" i="1"/>
  <c r="Q1126" i="1"/>
  <c r="S1134" i="1"/>
  <c r="Q1134" i="1"/>
  <c r="S297" i="1"/>
  <c r="N297" i="1"/>
  <c r="S296" i="1"/>
  <c r="N296" i="1"/>
  <c r="S295" i="1"/>
  <c r="N295" i="1"/>
  <c r="S294" i="1"/>
  <c r="N294" i="1"/>
  <c r="S293" i="1"/>
  <c r="N293" i="1"/>
  <c r="S292" i="1"/>
  <c r="N292" i="1"/>
  <c r="F292" i="1"/>
  <c r="S291" i="1"/>
  <c r="N291" i="1"/>
  <c r="F291" i="1"/>
  <c r="S290" i="1"/>
  <c r="N290" i="1"/>
  <c r="F290" i="1"/>
  <c r="S289" i="1"/>
  <c r="N289" i="1"/>
  <c r="F289" i="1"/>
  <c r="S288" i="1"/>
  <c r="N288" i="1"/>
  <c r="F288" i="1"/>
  <c r="S287" i="1"/>
  <c r="N287" i="1"/>
  <c r="F287" i="1"/>
  <c r="S286" i="1"/>
  <c r="N286" i="1"/>
  <c r="F286" i="1"/>
  <c r="S285" i="1"/>
  <c r="N285" i="1"/>
  <c r="F285" i="1"/>
  <c r="S284" i="1"/>
  <c r="N284" i="1"/>
  <c r="F284" i="1"/>
  <c r="S283" i="1"/>
  <c r="N283" i="1"/>
  <c r="F283" i="1"/>
  <c r="S282" i="1"/>
  <c r="N282" i="1"/>
  <c r="F282" i="1"/>
  <c r="S281" i="1"/>
  <c r="N281" i="1"/>
  <c r="F281" i="1"/>
  <c r="S1071" i="1"/>
  <c r="Q1071" i="1"/>
  <c r="I1071" i="1"/>
  <c r="S280" i="1"/>
  <c r="N280" i="1"/>
  <c r="F280" i="1"/>
  <c r="S279" i="1"/>
  <c r="N279" i="1"/>
  <c r="F279" i="1"/>
  <c r="S222" i="1"/>
  <c r="Q222" i="1"/>
  <c r="I222" i="1"/>
  <c r="S198" i="1"/>
  <c r="Q198" i="1"/>
  <c r="I198" i="1"/>
  <c r="S180" i="1"/>
  <c r="Q180" i="1"/>
  <c r="I180" i="1"/>
  <c r="S153" i="1"/>
  <c r="Q153" i="1"/>
  <c r="I153" i="1"/>
  <c r="S130" i="1"/>
  <c r="Q130" i="1"/>
  <c r="I130" i="1"/>
  <c r="S123" i="1"/>
  <c r="Q123" i="1"/>
  <c r="I123" i="1"/>
  <c r="I121" i="1"/>
  <c r="S121" i="1"/>
  <c r="Q121" i="1"/>
  <c r="S110" i="1"/>
  <c r="Q110" i="1"/>
  <c r="I110" i="1"/>
  <c r="S99" i="1"/>
  <c r="Q99" i="1"/>
  <c r="I99" i="1"/>
  <c r="S90" i="1"/>
  <c r="Q90" i="1"/>
  <c r="I90" i="1"/>
  <c r="I71" i="1" l="1"/>
  <c r="S71" i="1"/>
  <c r="Q71" i="1"/>
  <c r="Q51" i="1"/>
  <c r="S51" i="1"/>
  <c r="P110" i="1" l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3" i="1"/>
  <c r="P314" i="1"/>
  <c r="P315" i="1"/>
  <c r="U4" i="1" l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2" i="1"/>
  <c r="AC52" i="1" s="1"/>
  <c r="U53" i="1"/>
  <c r="AC53" i="1" s="1"/>
  <c r="U54" i="1"/>
  <c r="AC54" i="1" s="1"/>
  <c r="U55" i="1"/>
  <c r="AC55" i="1" s="1"/>
  <c r="U56" i="1"/>
  <c r="AC56" i="1" s="1"/>
  <c r="U57" i="1"/>
  <c r="AC57" i="1" s="1"/>
  <c r="U58" i="1"/>
  <c r="U59" i="1"/>
  <c r="U60" i="1"/>
  <c r="U61" i="1"/>
  <c r="U62" i="1"/>
  <c r="AC62" i="1" s="1"/>
  <c r="U63" i="1"/>
  <c r="AC63" i="1" s="1"/>
  <c r="U64" i="1"/>
  <c r="AC64" i="1" s="1"/>
  <c r="U65" i="1"/>
  <c r="U66" i="1"/>
  <c r="AC66" i="1" s="1"/>
  <c r="U67" i="1"/>
  <c r="AC67" i="1" s="1"/>
  <c r="U68" i="1"/>
  <c r="U69" i="1"/>
  <c r="U70" i="1"/>
  <c r="U72" i="1"/>
  <c r="AC72" i="1" s="1"/>
  <c r="U73" i="1"/>
  <c r="AC73" i="1" s="1"/>
  <c r="U74" i="1"/>
  <c r="AC74" i="1" s="1"/>
  <c r="U75" i="1"/>
  <c r="AC75" i="1" s="1"/>
  <c r="U76" i="1"/>
  <c r="U77" i="1"/>
  <c r="U78" i="1"/>
  <c r="U79" i="1"/>
  <c r="U80" i="1"/>
  <c r="U81" i="1"/>
  <c r="AC81" i="1" s="1"/>
  <c r="U82" i="1"/>
  <c r="AC82" i="1" s="1"/>
  <c r="U83" i="1"/>
  <c r="AC83" i="1" s="1"/>
  <c r="U84" i="1"/>
  <c r="U85" i="1"/>
  <c r="U86" i="1"/>
  <c r="U87" i="1"/>
  <c r="U88" i="1"/>
  <c r="AC88" i="1" s="1"/>
  <c r="U89" i="1"/>
  <c r="U91" i="1"/>
  <c r="U92" i="1"/>
  <c r="U93" i="1"/>
  <c r="AC93" i="1" s="1"/>
  <c r="U94" i="1"/>
  <c r="U95" i="1"/>
  <c r="AC95" i="1" s="1"/>
  <c r="U96" i="1"/>
  <c r="U97" i="1"/>
  <c r="AC97" i="1" s="1"/>
  <c r="U98" i="1"/>
  <c r="AC98" i="1" s="1"/>
  <c r="U100" i="1"/>
  <c r="U101" i="1"/>
  <c r="U102" i="1"/>
  <c r="U103" i="1"/>
  <c r="AC103" i="1" s="1"/>
  <c r="U104" i="1"/>
  <c r="AC104" i="1" s="1"/>
  <c r="U105" i="1"/>
  <c r="U106" i="1"/>
  <c r="U107" i="1"/>
  <c r="U108" i="1"/>
  <c r="AC108" i="1" s="1"/>
  <c r="U109" i="1"/>
  <c r="AC109" i="1" s="1"/>
  <c r="U111" i="1"/>
  <c r="U112" i="1"/>
  <c r="U113" i="1"/>
  <c r="U114" i="1"/>
  <c r="U115" i="1"/>
  <c r="U116" i="1"/>
  <c r="U117" i="1"/>
  <c r="AC117" i="1" s="1"/>
  <c r="U118" i="1"/>
  <c r="U119" i="1"/>
  <c r="U120" i="1"/>
  <c r="U122" i="1"/>
  <c r="U124" i="1"/>
  <c r="U125" i="1"/>
  <c r="U126" i="1"/>
  <c r="AC126" i="1" s="1"/>
  <c r="U127" i="1"/>
  <c r="AC127" i="1" s="1"/>
  <c r="U128" i="1"/>
  <c r="U129" i="1"/>
  <c r="U131" i="1"/>
  <c r="U132" i="1"/>
  <c r="AC132" i="1" s="1"/>
  <c r="U133" i="1"/>
  <c r="AC133" i="1" s="1"/>
  <c r="U134" i="1"/>
  <c r="U135" i="1"/>
  <c r="U136" i="1"/>
  <c r="U137" i="1"/>
  <c r="U138" i="1"/>
  <c r="U139" i="1"/>
  <c r="U140" i="1"/>
  <c r="U141" i="1"/>
  <c r="AC141" i="1" s="1"/>
  <c r="U142" i="1"/>
  <c r="U143" i="1"/>
  <c r="AC143" i="1" s="1"/>
  <c r="U144" i="1"/>
  <c r="AC144" i="1" s="1"/>
  <c r="U145" i="1"/>
  <c r="U146" i="1"/>
  <c r="U147" i="1"/>
  <c r="AC147" i="1" s="1"/>
  <c r="U148" i="1"/>
  <c r="U149" i="1"/>
  <c r="U150" i="1"/>
  <c r="U151" i="1"/>
  <c r="U152" i="1"/>
  <c r="U154" i="1"/>
  <c r="U155" i="1"/>
  <c r="AC155" i="1" s="1"/>
  <c r="U156" i="1"/>
  <c r="AC156" i="1" s="1"/>
  <c r="U157" i="1"/>
  <c r="AC157" i="1" s="1"/>
  <c r="U158" i="1"/>
  <c r="AC158" i="1" s="1"/>
  <c r="U159" i="1"/>
  <c r="U160" i="1"/>
  <c r="AC160" i="1" s="1"/>
  <c r="U161" i="1"/>
  <c r="U162" i="1"/>
  <c r="U163" i="1"/>
  <c r="U164" i="1"/>
  <c r="U165" i="1"/>
  <c r="AC165" i="1" s="1"/>
  <c r="U166" i="1"/>
  <c r="U167" i="1"/>
  <c r="U168" i="1"/>
  <c r="AC168" i="1" s="1"/>
  <c r="U169" i="1"/>
  <c r="U170" i="1"/>
  <c r="AC170" i="1" s="1"/>
  <c r="U171" i="1"/>
  <c r="AC171" i="1" s="1"/>
  <c r="U172" i="1"/>
  <c r="U173" i="1"/>
  <c r="U174" i="1"/>
  <c r="U175" i="1"/>
  <c r="U176" i="1"/>
  <c r="U177" i="1"/>
  <c r="U178" i="1"/>
  <c r="AC178" i="1" s="1"/>
  <c r="U179" i="1"/>
  <c r="U181" i="1"/>
  <c r="AC181" i="1" s="1"/>
  <c r="U182" i="1"/>
  <c r="AC182" i="1" s="1"/>
  <c r="U183" i="1"/>
  <c r="U184" i="1"/>
  <c r="U185" i="1"/>
  <c r="AC185" i="1" s="1"/>
  <c r="U186" i="1"/>
  <c r="U187" i="1"/>
  <c r="AC187" i="1" s="1"/>
  <c r="U188" i="1"/>
  <c r="AC188" i="1" s="1"/>
  <c r="U189" i="1"/>
  <c r="AC189" i="1" s="1"/>
  <c r="U190" i="1"/>
  <c r="U191" i="1"/>
  <c r="U192" i="1"/>
  <c r="U193" i="1"/>
  <c r="U194" i="1"/>
  <c r="U195" i="1"/>
  <c r="U196" i="1"/>
  <c r="U197" i="1"/>
  <c r="U199" i="1"/>
  <c r="U200" i="1"/>
  <c r="U201" i="1"/>
  <c r="U202" i="1"/>
  <c r="AC202" i="1" s="1"/>
  <c r="U203" i="1"/>
  <c r="AC203" i="1" s="1"/>
  <c r="U204" i="1"/>
  <c r="AC204" i="1" s="1"/>
  <c r="U205" i="1"/>
  <c r="AC205" i="1" s="1"/>
  <c r="U206" i="1"/>
  <c r="U207" i="1"/>
  <c r="U208" i="1"/>
  <c r="U209" i="1"/>
  <c r="AC209" i="1" s="1"/>
  <c r="U210" i="1"/>
  <c r="U211" i="1"/>
  <c r="U212" i="1"/>
  <c r="AC212" i="1" s="1"/>
  <c r="U213" i="1"/>
  <c r="AC213" i="1" s="1"/>
  <c r="U214" i="1"/>
  <c r="AC214" i="1" s="1"/>
  <c r="U215" i="1"/>
  <c r="AC215" i="1" s="1"/>
  <c r="U216" i="1"/>
  <c r="AC216" i="1" s="1"/>
  <c r="U217" i="1"/>
  <c r="U218" i="1"/>
  <c r="AC218" i="1" s="1"/>
  <c r="U219" i="1"/>
  <c r="U220" i="1"/>
  <c r="U221" i="1"/>
  <c r="U223" i="1"/>
  <c r="U224" i="1"/>
  <c r="U225" i="1"/>
  <c r="U226" i="1"/>
  <c r="AC226" i="1" s="1"/>
  <c r="U227" i="1"/>
  <c r="AC227" i="1" s="1"/>
  <c r="U228" i="1"/>
  <c r="U229" i="1"/>
  <c r="AC229" i="1" s="1"/>
  <c r="U230" i="1"/>
  <c r="AC230" i="1" s="1"/>
  <c r="U231" i="1"/>
  <c r="U232" i="1"/>
  <c r="AC232" i="1" s="1"/>
  <c r="U233" i="1"/>
  <c r="U234" i="1"/>
  <c r="U235" i="1"/>
  <c r="U236" i="1"/>
  <c r="U237" i="1"/>
  <c r="AC237" i="1" s="1"/>
  <c r="U238" i="1"/>
  <c r="AC238" i="1" s="1"/>
  <c r="U239" i="1"/>
  <c r="U240" i="1"/>
  <c r="U241" i="1"/>
  <c r="U242" i="1"/>
  <c r="AC242" i="1" s="1"/>
  <c r="U243" i="1"/>
  <c r="U244" i="1"/>
  <c r="U245" i="1"/>
  <c r="AC245" i="1" s="1"/>
  <c r="U246" i="1"/>
  <c r="AC246" i="1" s="1"/>
  <c r="U247" i="1"/>
  <c r="U248" i="1"/>
  <c r="U249" i="1"/>
  <c r="U250" i="1"/>
  <c r="U251" i="1"/>
  <c r="AC251" i="1" s="1"/>
  <c r="U252" i="1"/>
  <c r="AC252" i="1" s="1"/>
  <c r="U253" i="1"/>
  <c r="U254" i="1"/>
  <c r="U255" i="1"/>
  <c r="U256" i="1"/>
  <c r="U257" i="1"/>
  <c r="U258" i="1"/>
  <c r="AC258" i="1" s="1"/>
  <c r="U259" i="1"/>
  <c r="U260" i="1"/>
  <c r="AC260" i="1" s="1"/>
  <c r="U261" i="1"/>
  <c r="U262" i="1"/>
  <c r="U263" i="1"/>
  <c r="AC263" i="1" s="1"/>
  <c r="U264" i="1"/>
  <c r="U265" i="1"/>
  <c r="U266" i="1"/>
  <c r="U267" i="1"/>
  <c r="AC267" i="1" s="1"/>
  <c r="U268" i="1"/>
  <c r="AC268" i="1" s="1"/>
  <c r="U269" i="1"/>
  <c r="U270" i="1"/>
  <c r="U271" i="1"/>
  <c r="U272" i="1"/>
  <c r="U273" i="1"/>
  <c r="U274" i="1"/>
  <c r="U275" i="1"/>
  <c r="AC275" i="1" s="1"/>
  <c r="U276" i="1"/>
  <c r="U277" i="1"/>
  <c r="AC277" i="1" s="1"/>
  <c r="U278" i="1"/>
  <c r="U311" i="1"/>
  <c r="U312" i="1"/>
  <c r="U316" i="1"/>
  <c r="AC316" i="1" s="1"/>
  <c r="U317" i="1"/>
  <c r="U320" i="1"/>
  <c r="AC320" i="1" s="1"/>
  <c r="U321" i="1"/>
  <c r="AC321" i="1" s="1"/>
  <c r="U322" i="1"/>
  <c r="U323" i="1"/>
  <c r="U324" i="1"/>
  <c r="U325" i="1"/>
  <c r="U326" i="1"/>
  <c r="U327" i="1"/>
  <c r="U328" i="1"/>
  <c r="AC328" i="1" s="1"/>
  <c r="U329" i="1"/>
  <c r="U330" i="1"/>
  <c r="AC330" i="1" s="1"/>
  <c r="U331" i="1"/>
  <c r="U332" i="1"/>
  <c r="U333" i="1"/>
  <c r="AC333" i="1" s="1"/>
  <c r="U334" i="1"/>
  <c r="AC334" i="1" s="1"/>
  <c r="U335" i="1"/>
  <c r="AC335" i="1" s="1"/>
  <c r="U336" i="1"/>
  <c r="AC336" i="1" s="1"/>
  <c r="U337" i="1"/>
  <c r="U338" i="1"/>
  <c r="U339" i="1"/>
  <c r="U340" i="1"/>
  <c r="AC340" i="1" s="1"/>
  <c r="U341" i="1"/>
  <c r="AC341" i="1" s="1"/>
  <c r="U342" i="1"/>
  <c r="AC342" i="1" s="1"/>
  <c r="U343" i="1"/>
  <c r="U344" i="1"/>
  <c r="U345" i="1"/>
  <c r="U346" i="1"/>
  <c r="U347" i="1"/>
  <c r="U348" i="1"/>
  <c r="AC348" i="1" s="1"/>
  <c r="U349" i="1"/>
  <c r="U350" i="1"/>
  <c r="U351" i="1"/>
  <c r="U352" i="1"/>
  <c r="U353" i="1"/>
  <c r="U354" i="1"/>
  <c r="U355" i="1"/>
  <c r="U356" i="1"/>
  <c r="U357" i="1"/>
  <c r="U358" i="1"/>
  <c r="U359" i="1"/>
  <c r="AC359" i="1" s="1"/>
  <c r="U360" i="1"/>
  <c r="AC360" i="1" s="1"/>
  <c r="U361" i="1"/>
  <c r="U362" i="1"/>
  <c r="AC362" i="1" s="1"/>
  <c r="U363" i="1"/>
  <c r="U364" i="1"/>
  <c r="U365" i="1"/>
  <c r="U367" i="1"/>
  <c r="U369" i="1"/>
  <c r="AC369" i="1" s="1"/>
  <c r="U370" i="1"/>
  <c r="U371" i="1"/>
  <c r="AC371" i="1" s="1"/>
  <c r="U372" i="1"/>
  <c r="U373" i="1"/>
  <c r="U375" i="1"/>
  <c r="U376" i="1"/>
  <c r="AC376" i="1" s="1"/>
  <c r="U377" i="1"/>
  <c r="AC377" i="1" s="1"/>
  <c r="U379" i="1"/>
  <c r="U380" i="1"/>
  <c r="U381" i="1"/>
  <c r="U382" i="1"/>
  <c r="AC382" i="1" s="1"/>
  <c r="U383" i="1"/>
  <c r="U384" i="1"/>
  <c r="AC384" i="1" s="1"/>
  <c r="U385" i="1"/>
  <c r="U386" i="1"/>
  <c r="U387" i="1"/>
  <c r="U388" i="1"/>
  <c r="AC388" i="1" s="1"/>
  <c r="U389" i="1"/>
  <c r="U390" i="1"/>
  <c r="U391" i="1"/>
  <c r="U392" i="1"/>
  <c r="U393" i="1"/>
  <c r="U394" i="1"/>
  <c r="U395" i="1"/>
  <c r="AC395" i="1" s="1"/>
  <c r="U396" i="1"/>
  <c r="U397" i="1"/>
  <c r="U398" i="1"/>
  <c r="U399" i="1"/>
  <c r="U400" i="1"/>
  <c r="U401" i="1"/>
  <c r="U402" i="1"/>
  <c r="AC402" i="1" s="1"/>
  <c r="U403" i="1"/>
  <c r="AC403" i="1" s="1"/>
  <c r="U404" i="1"/>
  <c r="AC404" i="1" s="1"/>
  <c r="U405" i="1"/>
  <c r="U406" i="1"/>
  <c r="U407" i="1"/>
  <c r="AC407" i="1" s="1"/>
  <c r="U408" i="1"/>
  <c r="U409" i="1"/>
  <c r="AC409" i="1" s="1"/>
  <c r="U411" i="1"/>
  <c r="U413" i="1"/>
  <c r="AC413" i="1" s="1"/>
  <c r="U414" i="1"/>
  <c r="AC414" i="1" s="1"/>
  <c r="U415" i="1"/>
  <c r="U416" i="1"/>
  <c r="U417" i="1"/>
  <c r="U418" i="1"/>
  <c r="U419" i="1"/>
  <c r="AC419" i="1" s="1"/>
  <c r="U420" i="1"/>
  <c r="AC420" i="1" s="1"/>
  <c r="U421" i="1"/>
  <c r="AC421" i="1" s="1"/>
  <c r="U422" i="1"/>
  <c r="AC422" i="1" s="1"/>
  <c r="U423" i="1"/>
  <c r="U424" i="1"/>
  <c r="U425" i="1"/>
  <c r="U426" i="1"/>
  <c r="AC426" i="1" s="1"/>
  <c r="U427" i="1"/>
  <c r="AC427" i="1" s="1"/>
  <c r="U428" i="1"/>
  <c r="AC428" i="1" s="1"/>
  <c r="U429" i="1"/>
  <c r="U430" i="1"/>
  <c r="U431" i="1"/>
  <c r="U432" i="1"/>
  <c r="U433" i="1"/>
  <c r="U434" i="1"/>
  <c r="U435" i="1"/>
  <c r="U436" i="1"/>
  <c r="U437" i="1"/>
  <c r="AC437" i="1" s="1"/>
  <c r="U438" i="1"/>
  <c r="U439" i="1"/>
  <c r="U440" i="1"/>
  <c r="AC440" i="1" s="1"/>
  <c r="U441" i="1"/>
  <c r="U442" i="1"/>
  <c r="U443" i="1"/>
  <c r="AC443" i="1" s="1"/>
  <c r="U444" i="1"/>
  <c r="U445" i="1"/>
  <c r="AC445" i="1" s="1"/>
  <c r="U446" i="1"/>
  <c r="U447" i="1"/>
  <c r="AC447" i="1" s="1"/>
  <c r="U448" i="1"/>
  <c r="U449" i="1"/>
  <c r="AC449" i="1" s="1"/>
  <c r="U450" i="1"/>
  <c r="AC450" i="1" s="1"/>
  <c r="U451" i="1"/>
  <c r="AC451" i="1" s="1"/>
  <c r="U452" i="1"/>
  <c r="U453" i="1"/>
  <c r="U454" i="1"/>
  <c r="U455" i="1"/>
  <c r="U456" i="1"/>
  <c r="U457" i="1"/>
  <c r="AC457" i="1" s="1"/>
  <c r="U458" i="1"/>
  <c r="AC458" i="1" s="1"/>
  <c r="U459" i="1"/>
  <c r="AC459" i="1" s="1"/>
  <c r="U460" i="1"/>
  <c r="U461" i="1"/>
  <c r="U462" i="1"/>
  <c r="AC462" i="1" s="1"/>
  <c r="U463" i="1"/>
  <c r="U465" i="1"/>
  <c r="AC465" i="1" s="1"/>
  <c r="U466" i="1"/>
  <c r="U467" i="1"/>
  <c r="U468" i="1"/>
  <c r="AC468" i="1" s="1"/>
  <c r="U469" i="1"/>
  <c r="AC469" i="1" s="1"/>
  <c r="U471" i="1"/>
  <c r="U472" i="1"/>
  <c r="U474" i="1"/>
  <c r="U475" i="1"/>
  <c r="AC475" i="1" s="1"/>
  <c r="U476" i="1"/>
  <c r="AC476" i="1" s="1"/>
  <c r="U477" i="1"/>
  <c r="AC477" i="1" s="1"/>
  <c r="U479" i="1"/>
  <c r="U480" i="1"/>
  <c r="AC480" i="1" s="1"/>
  <c r="U481" i="1"/>
  <c r="U482" i="1"/>
  <c r="AC482" i="1" s="1"/>
  <c r="U483" i="1"/>
  <c r="U484" i="1"/>
  <c r="AC484" i="1" s="1"/>
  <c r="U485" i="1"/>
  <c r="AC485" i="1" s="1"/>
  <c r="U486" i="1"/>
  <c r="U487" i="1"/>
  <c r="U488" i="1"/>
  <c r="U489" i="1"/>
  <c r="U490" i="1"/>
  <c r="AC490" i="1" s="1"/>
  <c r="U491" i="1"/>
  <c r="AC491" i="1" s="1"/>
  <c r="U492" i="1"/>
  <c r="U493" i="1"/>
  <c r="AC493" i="1" s="1"/>
  <c r="U494" i="1"/>
  <c r="U495" i="1"/>
  <c r="AC495" i="1" s="1"/>
  <c r="U496" i="1"/>
  <c r="AC496" i="1" s="1"/>
  <c r="U497" i="1"/>
  <c r="U498" i="1"/>
  <c r="U499" i="1"/>
  <c r="AC499" i="1" s="1"/>
  <c r="U500" i="1"/>
  <c r="U501" i="1"/>
  <c r="U502" i="1"/>
  <c r="AC502" i="1" s="1"/>
  <c r="U503" i="1"/>
  <c r="AC503" i="1" s="1"/>
  <c r="U504" i="1"/>
  <c r="AC504" i="1" s="1"/>
  <c r="U505" i="1"/>
  <c r="U506" i="1"/>
  <c r="U507" i="1"/>
  <c r="U508" i="1"/>
  <c r="U509" i="1"/>
  <c r="U510" i="1"/>
  <c r="U511" i="1"/>
  <c r="U512" i="1"/>
  <c r="AC512" i="1" s="1"/>
  <c r="U513" i="1"/>
  <c r="U514" i="1"/>
  <c r="U515" i="1"/>
  <c r="U516" i="1"/>
  <c r="U517" i="1"/>
  <c r="AC517" i="1" s="1"/>
  <c r="U518" i="1"/>
  <c r="U519" i="1"/>
  <c r="U520" i="1"/>
  <c r="U521" i="1"/>
  <c r="AC521" i="1" s="1"/>
  <c r="U522" i="1"/>
  <c r="U523" i="1"/>
  <c r="U524" i="1"/>
  <c r="AC524" i="1" s="1"/>
  <c r="U525" i="1"/>
  <c r="U526" i="1"/>
  <c r="U527" i="1"/>
  <c r="AC527" i="1" s="1"/>
  <c r="U528" i="1"/>
  <c r="AC528" i="1" s="1"/>
  <c r="U529" i="1"/>
  <c r="U530" i="1"/>
  <c r="AC530" i="1" s="1"/>
  <c r="U531" i="1"/>
  <c r="U532" i="1"/>
  <c r="U533" i="1"/>
  <c r="AC533" i="1" s="1"/>
  <c r="U534" i="1"/>
  <c r="AC534" i="1" s="1"/>
  <c r="U535" i="1"/>
  <c r="AC535" i="1" s="1"/>
  <c r="U536" i="1"/>
  <c r="AC536" i="1" s="1"/>
  <c r="U537" i="1"/>
  <c r="U538" i="1"/>
  <c r="U539" i="1"/>
  <c r="U540" i="1"/>
  <c r="U541" i="1"/>
  <c r="U542" i="1"/>
  <c r="U543" i="1"/>
  <c r="AC543" i="1" s="1"/>
  <c r="U544" i="1"/>
  <c r="AC544" i="1" s="1"/>
  <c r="U545" i="1"/>
  <c r="U546" i="1"/>
  <c r="U547" i="1"/>
  <c r="AC547" i="1" s="1"/>
  <c r="U549" i="1"/>
  <c r="U550" i="1"/>
  <c r="U551" i="1"/>
  <c r="AC551" i="1" s="1"/>
  <c r="U552" i="1"/>
  <c r="U553" i="1"/>
  <c r="U554" i="1"/>
  <c r="AC554" i="1" s="1"/>
  <c r="U555" i="1"/>
  <c r="U556" i="1"/>
  <c r="AC556" i="1" s="1"/>
  <c r="U557" i="1"/>
  <c r="AC557" i="1" s="1"/>
  <c r="U558" i="1"/>
  <c r="AC558" i="1" s="1"/>
  <c r="U559" i="1"/>
  <c r="U560" i="1"/>
  <c r="U562" i="1"/>
  <c r="AC562" i="1" s="1"/>
  <c r="U563" i="1"/>
  <c r="U565" i="1"/>
  <c r="AC565" i="1" s="1"/>
  <c r="U566" i="1"/>
  <c r="U568" i="1"/>
  <c r="AC568" i="1" s="1"/>
  <c r="U569" i="1"/>
  <c r="U570" i="1"/>
  <c r="U571" i="1"/>
  <c r="AC571" i="1" s="1"/>
  <c r="U572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8" i="1"/>
  <c r="U589" i="1"/>
  <c r="U590" i="1"/>
  <c r="U591" i="1"/>
  <c r="U592" i="1"/>
  <c r="U593" i="1"/>
  <c r="AC593" i="1" s="1"/>
  <c r="U594" i="1"/>
  <c r="U595" i="1"/>
  <c r="U596" i="1"/>
  <c r="AC596" i="1" s="1"/>
  <c r="U597" i="1"/>
  <c r="U598" i="1"/>
  <c r="U599" i="1"/>
  <c r="AC599" i="1" s="1"/>
  <c r="U600" i="1"/>
  <c r="U601" i="1"/>
  <c r="U602" i="1"/>
  <c r="AC602" i="1" s="1"/>
  <c r="U603" i="1"/>
  <c r="U604" i="1"/>
  <c r="U605" i="1"/>
  <c r="U606" i="1"/>
  <c r="AC606" i="1" s="1"/>
  <c r="U607" i="1"/>
  <c r="U608" i="1"/>
  <c r="U609" i="1"/>
  <c r="AC609" i="1" s="1"/>
  <c r="U610" i="1"/>
  <c r="AC610" i="1" s="1"/>
  <c r="U611" i="1"/>
  <c r="U612" i="1"/>
  <c r="U614" i="1"/>
  <c r="U615" i="1"/>
  <c r="U616" i="1"/>
  <c r="U617" i="1"/>
  <c r="U618" i="1"/>
  <c r="U619" i="1"/>
  <c r="U621" i="1"/>
  <c r="U622" i="1"/>
  <c r="U625" i="1"/>
  <c r="AC625" i="1" s="1"/>
  <c r="U626" i="1"/>
  <c r="U627" i="1"/>
  <c r="AC627" i="1" s="1"/>
  <c r="U628" i="1"/>
  <c r="AC628" i="1" s="1"/>
  <c r="U629" i="1"/>
  <c r="AC629" i="1" s="1"/>
  <c r="U630" i="1"/>
  <c r="U631" i="1"/>
  <c r="U632" i="1"/>
  <c r="AC632" i="1" s="1"/>
  <c r="U633" i="1"/>
  <c r="AC633" i="1" s="1"/>
  <c r="U634" i="1"/>
  <c r="AC634" i="1" s="1"/>
  <c r="U635" i="1"/>
  <c r="U636" i="1"/>
  <c r="AC636" i="1" s="1"/>
  <c r="U637" i="1"/>
  <c r="U638" i="1"/>
  <c r="U639" i="1"/>
  <c r="U640" i="1"/>
  <c r="U641" i="1"/>
  <c r="U642" i="1"/>
  <c r="U643" i="1"/>
  <c r="U644" i="1"/>
  <c r="AC644" i="1" s="1"/>
  <c r="U645" i="1"/>
  <c r="U646" i="1"/>
  <c r="U647" i="1"/>
  <c r="AC647" i="1" s="1"/>
  <c r="U648" i="1"/>
  <c r="U649" i="1"/>
  <c r="U650" i="1"/>
  <c r="U651" i="1"/>
  <c r="U652" i="1"/>
  <c r="U653" i="1"/>
  <c r="U654" i="1"/>
  <c r="U655" i="1"/>
  <c r="AC655" i="1" s="1"/>
  <c r="U656" i="1"/>
  <c r="AC656" i="1" s="1"/>
  <c r="U657" i="1"/>
  <c r="AC657" i="1" s="1"/>
  <c r="U658" i="1"/>
  <c r="U659" i="1"/>
  <c r="U660" i="1"/>
  <c r="U661" i="1"/>
  <c r="U662" i="1"/>
  <c r="U663" i="1"/>
  <c r="U664" i="1"/>
  <c r="AC664" i="1" s="1"/>
  <c r="U665" i="1"/>
  <c r="AC665" i="1" s="1"/>
  <c r="U666" i="1"/>
  <c r="AC666" i="1" s="1"/>
  <c r="U667" i="1"/>
  <c r="U668" i="1"/>
  <c r="U669" i="1"/>
  <c r="AC669" i="1" s="1"/>
  <c r="U670" i="1"/>
  <c r="AC670" i="1" s="1"/>
  <c r="U671" i="1"/>
  <c r="AC671" i="1" s="1"/>
  <c r="U672" i="1"/>
  <c r="AC672" i="1" s="1"/>
  <c r="U673" i="1"/>
  <c r="U674" i="1"/>
  <c r="U675" i="1"/>
  <c r="U676" i="1"/>
  <c r="U677" i="1"/>
  <c r="U678" i="1"/>
  <c r="U679" i="1"/>
  <c r="AC679" i="1" s="1"/>
  <c r="U680" i="1"/>
  <c r="U681" i="1"/>
  <c r="U682" i="1"/>
  <c r="U684" i="1"/>
  <c r="U685" i="1"/>
  <c r="AC685" i="1" s="1"/>
  <c r="U686" i="1"/>
  <c r="U687" i="1"/>
  <c r="U688" i="1"/>
  <c r="U689" i="1"/>
  <c r="AC689" i="1" s="1"/>
  <c r="U690" i="1"/>
  <c r="U691" i="1"/>
  <c r="U692" i="1"/>
  <c r="U694" i="1"/>
  <c r="U695" i="1"/>
  <c r="AC695" i="1" s="1"/>
  <c r="U696" i="1"/>
  <c r="U697" i="1"/>
  <c r="U698" i="1"/>
  <c r="AC698" i="1" s="1"/>
  <c r="U699" i="1"/>
  <c r="U700" i="1"/>
  <c r="AC700" i="1" s="1"/>
  <c r="U701" i="1"/>
  <c r="AC701" i="1" s="1"/>
  <c r="U702" i="1"/>
  <c r="U703" i="1"/>
  <c r="AC703" i="1" s="1"/>
  <c r="U705" i="1"/>
  <c r="U706" i="1"/>
  <c r="AC706" i="1" s="1"/>
  <c r="U708" i="1"/>
  <c r="AC708" i="1" s="1"/>
  <c r="U709" i="1"/>
  <c r="U710" i="1"/>
  <c r="AC710" i="1" s="1"/>
  <c r="U711" i="1"/>
  <c r="U712" i="1"/>
  <c r="U713" i="1"/>
  <c r="U714" i="1"/>
  <c r="AC714" i="1" s="1"/>
  <c r="U715" i="1"/>
  <c r="AC715" i="1" s="1"/>
  <c r="U716" i="1"/>
  <c r="AC716" i="1" s="1"/>
  <c r="U718" i="1"/>
  <c r="U719" i="1"/>
  <c r="AC719" i="1" s="1"/>
  <c r="U720" i="1"/>
  <c r="U721" i="1"/>
  <c r="U722" i="1"/>
  <c r="U723" i="1"/>
  <c r="U724" i="1"/>
  <c r="U726" i="1"/>
  <c r="U727" i="1"/>
  <c r="U728" i="1"/>
  <c r="AC728" i="1" s="1"/>
  <c r="U729" i="1"/>
  <c r="AC729" i="1" s="1"/>
  <c r="U730" i="1"/>
  <c r="AC730" i="1" s="1"/>
  <c r="U731" i="1"/>
  <c r="AC731" i="1" s="1"/>
  <c r="U732" i="1"/>
  <c r="U733" i="1"/>
  <c r="U734" i="1"/>
  <c r="AC734" i="1" s="1"/>
  <c r="U735" i="1"/>
  <c r="AC735" i="1" s="1"/>
  <c r="U736" i="1"/>
  <c r="AC736" i="1" s="1"/>
  <c r="U737" i="1"/>
  <c r="U738" i="1"/>
  <c r="AC738" i="1" s="1"/>
  <c r="U739" i="1"/>
  <c r="U740" i="1"/>
  <c r="U741" i="1"/>
  <c r="U742" i="1"/>
  <c r="U743" i="1"/>
  <c r="AC743" i="1" s="1"/>
  <c r="U744" i="1"/>
  <c r="U745" i="1"/>
  <c r="U746" i="1"/>
  <c r="U747" i="1"/>
  <c r="U748" i="1"/>
  <c r="U749" i="1"/>
  <c r="U750" i="1"/>
  <c r="U751" i="1"/>
  <c r="U752" i="1"/>
  <c r="U753" i="1"/>
  <c r="AC753" i="1" s="1"/>
  <c r="U754" i="1"/>
  <c r="U755" i="1"/>
  <c r="U756" i="1"/>
  <c r="U757" i="1"/>
  <c r="U758" i="1"/>
  <c r="AC758" i="1" s="1"/>
  <c r="U759" i="1"/>
  <c r="U760" i="1"/>
  <c r="AC760" i="1" s="1"/>
  <c r="U761" i="1"/>
  <c r="U762" i="1"/>
  <c r="AC762" i="1" s="1"/>
  <c r="U763" i="1"/>
  <c r="AC763" i="1" s="1"/>
  <c r="U764" i="1"/>
  <c r="U765" i="1"/>
  <c r="U766" i="1"/>
  <c r="U767" i="1"/>
  <c r="U768" i="1"/>
  <c r="U769" i="1"/>
  <c r="U770" i="1"/>
  <c r="U772" i="1"/>
  <c r="U773" i="1"/>
  <c r="U774" i="1"/>
  <c r="U775" i="1"/>
  <c r="U776" i="1"/>
  <c r="AC776" i="1" s="1"/>
  <c r="U777" i="1"/>
  <c r="AC777" i="1" s="1"/>
  <c r="U778" i="1"/>
  <c r="AC778" i="1" s="1"/>
  <c r="U779" i="1"/>
  <c r="U780" i="1"/>
  <c r="U781" i="1"/>
  <c r="AC781" i="1" s="1"/>
  <c r="U782" i="1"/>
  <c r="U783" i="1"/>
  <c r="AC783" i="1" s="1"/>
  <c r="U784" i="1"/>
  <c r="U785" i="1"/>
  <c r="U786" i="1"/>
  <c r="U787" i="1"/>
  <c r="U788" i="1"/>
  <c r="AC788" i="1" s="1"/>
  <c r="U789" i="1"/>
  <c r="AC789" i="1" s="1"/>
  <c r="U790" i="1"/>
  <c r="U791" i="1"/>
  <c r="U792" i="1"/>
  <c r="U793" i="1"/>
  <c r="U794" i="1"/>
  <c r="AC794" i="1" s="1"/>
  <c r="U795" i="1"/>
  <c r="U798" i="1"/>
  <c r="U799" i="1"/>
  <c r="U800" i="1"/>
  <c r="U801" i="1"/>
  <c r="U802" i="1"/>
  <c r="AC802" i="1" s="1"/>
  <c r="U803" i="1"/>
  <c r="U804" i="1"/>
  <c r="AC804" i="1" s="1"/>
  <c r="U805" i="1"/>
  <c r="U806" i="1"/>
  <c r="U807" i="1"/>
  <c r="U808" i="1"/>
  <c r="U809" i="1"/>
  <c r="U810" i="1"/>
  <c r="U811" i="1"/>
  <c r="U812" i="1"/>
  <c r="AC812" i="1" s="1"/>
  <c r="U813" i="1"/>
  <c r="U814" i="1"/>
  <c r="U815" i="1"/>
  <c r="AC815" i="1" s="1"/>
  <c r="U817" i="1"/>
  <c r="U818" i="1"/>
  <c r="U819" i="1"/>
  <c r="AC819" i="1" s="1"/>
  <c r="U821" i="1"/>
  <c r="AC821" i="1" s="1"/>
  <c r="U822" i="1"/>
  <c r="U823" i="1"/>
  <c r="U824" i="1"/>
  <c r="U825" i="1"/>
  <c r="U826" i="1"/>
  <c r="AC826" i="1" s="1"/>
  <c r="U827" i="1"/>
  <c r="U828" i="1"/>
  <c r="U829" i="1"/>
  <c r="U830" i="1"/>
  <c r="U831" i="1"/>
  <c r="U832" i="1"/>
  <c r="AC832" i="1" s="1"/>
  <c r="U833" i="1"/>
  <c r="AC833" i="1" s="1"/>
  <c r="U834" i="1"/>
  <c r="U835" i="1"/>
  <c r="AC835" i="1" s="1"/>
  <c r="U836" i="1"/>
  <c r="U837" i="1"/>
  <c r="U838" i="1"/>
  <c r="U839" i="1"/>
  <c r="U840" i="1"/>
  <c r="AC840" i="1" s="1"/>
  <c r="U841" i="1"/>
  <c r="U842" i="1"/>
  <c r="U843" i="1"/>
  <c r="U844" i="1"/>
  <c r="U845" i="1"/>
  <c r="U846" i="1"/>
  <c r="U847" i="1"/>
  <c r="AC847" i="1" s="1"/>
  <c r="U848" i="1"/>
  <c r="U849" i="1"/>
  <c r="U850" i="1"/>
  <c r="U851" i="1"/>
  <c r="U852" i="1"/>
  <c r="AC852" i="1" s="1"/>
  <c r="U853" i="1"/>
  <c r="AC853" i="1" s="1"/>
  <c r="U854" i="1"/>
  <c r="U855" i="1"/>
  <c r="U856" i="1"/>
  <c r="AC856" i="1" s="1"/>
  <c r="U857" i="1"/>
  <c r="U858" i="1"/>
  <c r="U859" i="1"/>
  <c r="U860" i="1"/>
  <c r="AC860" i="1" s="1"/>
  <c r="U861" i="1"/>
  <c r="AC861" i="1" s="1"/>
  <c r="U862" i="1"/>
  <c r="AC862" i="1" s="1"/>
  <c r="U863" i="1"/>
  <c r="AC863" i="1" s="1"/>
  <c r="U864" i="1"/>
  <c r="U865" i="1"/>
  <c r="U866" i="1"/>
  <c r="U867" i="1"/>
  <c r="U868" i="1"/>
  <c r="U869" i="1"/>
  <c r="U870" i="1"/>
  <c r="U871" i="1"/>
  <c r="U872" i="1"/>
  <c r="U873" i="1"/>
  <c r="U874" i="1"/>
  <c r="U875" i="1"/>
  <c r="AC875" i="1" s="1"/>
  <c r="U876" i="1"/>
  <c r="U877" i="1"/>
  <c r="U878" i="1"/>
  <c r="AC878" i="1" s="1"/>
  <c r="U879" i="1"/>
  <c r="U880" i="1"/>
  <c r="U881" i="1"/>
  <c r="U882" i="1"/>
  <c r="U883" i="1"/>
  <c r="U884" i="1"/>
  <c r="U885" i="1"/>
  <c r="AC885" i="1" s="1"/>
  <c r="U886" i="1"/>
  <c r="U887" i="1"/>
  <c r="U888" i="1"/>
  <c r="AC888" i="1" s="1"/>
  <c r="U889" i="1"/>
  <c r="AC889" i="1" s="1"/>
  <c r="U890" i="1"/>
  <c r="AC890" i="1" s="1"/>
  <c r="U891" i="1"/>
  <c r="U892" i="1"/>
  <c r="AC892" i="1" s="1"/>
  <c r="U893" i="1"/>
  <c r="AC893" i="1" s="1"/>
  <c r="U894" i="1"/>
  <c r="AC894" i="1" s="1"/>
  <c r="U895" i="1"/>
  <c r="AC895" i="1" s="1"/>
  <c r="U896" i="1"/>
  <c r="AC896" i="1" s="1"/>
  <c r="U897" i="1"/>
  <c r="U898" i="1"/>
  <c r="U899" i="1"/>
  <c r="AC899" i="1" s="1"/>
  <c r="U900" i="1"/>
  <c r="AC900" i="1" s="1"/>
  <c r="U901" i="1"/>
  <c r="U902" i="1"/>
  <c r="U903" i="1"/>
  <c r="U904" i="1"/>
  <c r="U905" i="1"/>
  <c r="AC905" i="1" s="1"/>
  <c r="U906" i="1"/>
  <c r="U907" i="1"/>
  <c r="AC907" i="1" s="1"/>
  <c r="U908" i="1"/>
  <c r="AC908" i="1" s="1"/>
  <c r="U909" i="1"/>
  <c r="U910" i="1"/>
  <c r="U911" i="1"/>
  <c r="AC911" i="1" s="1"/>
  <c r="U912" i="1"/>
  <c r="AC912" i="1" s="1"/>
  <c r="U913" i="1"/>
  <c r="AC913" i="1" s="1"/>
  <c r="U914" i="1"/>
  <c r="U915" i="1"/>
  <c r="AC915" i="1" s="1"/>
  <c r="U916" i="1"/>
  <c r="U917" i="1"/>
  <c r="U918" i="1"/>
  <c r="AC918" i="1" s="1"/>
  <c r="U919" i="1"/>
  <c r="U920" i="1"/>
  <c r="U921" i="1"/>
  <c r="U922" i="1"/>
  <c r="AC922" i="1" s="1"/>
  <c r="U923" i="1"/>
  <c r="U924" i="1"/>
  <c r="U925" i="1"/>
  <c r="AC925" i="1" s="1"/>
  <c r="U926" i="1"/>
  <c r="AC926" i="1" s="1"/>
  <c r="U927" i="1"/>
  <c r="U928" i="1"/>
  <c r="U929" i="1"/>
  <c r="U930" i="1"/>
  <c r="U931" i="1"/>
  <c r="U932" i="1"/>
  <c r="AC932" i="1" s="1"/>
  <c r="U933" i="1"/>
  <c r="AC933" i="1" s="1"/>
  <c r="U934" i="1"/>
  <c r="U935" i="1"/>
  <c r="U936" i="1"/>
  <c r="U937" i="1"/>
  <c r="U938" i="1"/>
  <c r="U939" i="1"/>
  <c r="AC939" i="1" s="1"/>
  <c r="U940" i="1"/>
  <c r="AC940" i="1" s="1"/>
  <c r="U941" i="1"/>
  <c r="AC941" i="1" s="1"/>
  <c r="U942" i="1"/>
  <c r="U943" i="1"/>
  <c r="U944" i="1"/>
  <c r="U945" i="1"/>
  <c r="U946" i="1"/>
  <c r="U947" i="1"/>
  <c r="U948" i="1"/>
  <c r="U949" i="1"/>
  <c r="U950" i="1"/>
  <c r="AC950" i="1" s="1"/>
  <c r="U951" i="1"/>
  <c r="U952" i="1"/>
  <c r="AC952" i="1" s="1"/>
  <c r="U954" i="1"/>
  <c r="AC954" i="1" s="1"/>
  <c r="U955" i="1"/>
  <c r="U956" i="1"/>
  <c r="U957" i="1"/>
  <c r="AC957" i="1" s="1"/>
  <c r="U959" i="1"/>
  <c r="AC959" i="1" s="1"/>
  <c r="U960" i="1"/>
  <c r="AC960" i="1" s="1"/>
  <c r="U961" i="1"/>
  <c r="U962" i="1"/>
  <c r="AC962" i="1" s="1"/>
  <c r="U964" i="1"/>
  <c r="U966" i="1"/>
  <c r="U967" i="1"/>
  <c r="AC967" i="1" s="1"/>
  <c r="U968" i="1"/>
  <c r="U969" i="1"/>
  <c r="AC969" i="1" s="1"/>
  <c r="U970" i="1"/>
  <c r="U971" i="1"/>
  <c r="U972" i="1"/>
  <c r="U973" i="1"/>
  <c r="U974" i="1"/>
  <c r="AC974" i="1" s="1"/>
  <c r="U975" i="1"/>
  <c r="U976" i="1"/>
  <c r="U977" i="1"/>
  <c r="AC977" i="1" s="1"/>
  <c r="U978" i="1"/>
  <c r="U979" i="1"/>
  <c r="AC979" i="1" s="1"/>
  <c r="U980" i="1"/>
  <c r="AC980" i="1" s="1"/>
  <c r="U981" i="1"/>
  <c r="U982" i="1"/>
  <c r="U983" i="1"/>
  <c r="U984" i="1"/>
  <c r="AC984" i="1" s="1"/>
  <c r="U985" i="1"/>
  <c r="U986" i="1"/>
  <c r="U987" i="1"/>
  <c r="U988" i="1"/>
  <c r="U989" i="1"/>
  <c r="AC989" i="1" s="1"/>
  <c r="U990" i="1"/>
  <c r="U991" i="1"/>
  <c r="AC991" i="1" s="1"/>
  <c r="U992" i="1"/>
  <c r="U993" i="1"/>
  <c r="AC993" i="1" s="1"/>
  <c r="U994" i="1"/>
  <c r="U995" i="1"/>
  <c r="U996" i="1"/>
  <c r="U997" i="1"/>
  <c r="U998" i="1"/>
  <c r="U999" i="1"/>
  <c r="U1000" i="1"/>
  <c r="U1001" i="1"/>
  <c r="U1002" i="1"/>
  <c r="U1003" i="1"/>
  <c r="AC1003" i="1" s="1"/>
  <c r="U1004" i="1"/>
  <c r="AC1004" i="1" s="1"/>
  <c r="U1005" i="1"/>
  <c r="AC1005" i="1" s="1"/>
  <c r="U1006" i="1"/>
  <c r="AC1006" i="1" s="1"/>
  <c r="U1007" i="1"/>
  <c r="AC1007" i="1" s="1"/>
  <c r="U1008" i="1"/>
  <c r="U1009" i="1"/>
  <c r="U1010" i="1"/>
  <c r="U1011" i="1"/>
  <c r="U1012" i="1"/>
  <c r="U1013" i="1"/>
  <c r="U1014" i="1"/>
  <c r="AC1014" i="1" s="1"/>
  <c r="U1015" i="1"/>
  <c r="AC1015" i="1" s="1"/>
  <c r="U1016" i="1"/>
  <c r="AC1016" i="1" s="1"/>
  <c r="U1017" i="1"/>
  <c r="AC1017" i="1" s="1"/>
  <c r="U1018" i="1"/>
  <c r="U1019" i="1"/>
  <c r="AC1019" i="1" s="1"/>
  <c r="U1020" i="1"/>
  <c r="U1021" i="1"/>
  <c r="U1022" i="1"/>
  <c r="U1023" i="1"/>
  <c r="U1024" i="1"/>
  <c r="AC1024" i="1" s="1"/>
  <c r="U1025" i="1"/>
  <c r="AC1025" i="1" s="1"/>
  <c r="U1026" i="1"/>
  <c r="AC1026" i="1" s="1"/>
  <c r="U1027" i="1"/>
  <c r="U1028" i="1"/>
  <c r="AC1028" i="1" s="1"/>
  <c r="U1029" i="1"/>
  <c r="U1030" i="1"/>
  <c r="U1031" i="1"/>
  <c r="AC1031" i="1" s="1"/>
  <c r="U1032" i="1"/>
  <c r="U1033" i="1"/>
  <c r="U1034" i="1"/>
  <c r="AC1034" i="1" s="1"/>
  <c r="U1035" i="1"/>
  <c r="AC1035" i="1" s="1"/>
  <c r="U1036" i="1"/>
  <c r="AC1036" i="1" s="1"/>
  <c r="U1037" i="1"/>
  <c r="U1038" i="1"/>
  <c r="U1039" i="1"/>
  <c r="U1040" i="1"/>
  <c r="AC1040" i="1" s="1"/>
  <c r="U1041" i="1"/>
  <c r="U1042" i="1"/>
  <c r="AC1042" i="1" s="1"/>
  <c r="U1043" i="1"/>
  <c r="AC1043" i="1" s="1"/>
  <c r="U1044" i="1"/>
  <c r="AC1044" i="1" s="1"/>
  <c r="U1045" i="1"/>
  <c r="U1046" i="1"/>
  <c r="U1047" i="1"/>
  <c r="AC1047" i="1" s="1"/>
  <c r="U1048" i="1"/>
  <c r="U1049" i="1"/>
  <c r="AC1049" i="1" s="1"/>
  <c r="U1053" i="1"/>
  <c r="AC1053" i="1" s="1"/>
  <c r="U1054" i="1"/>
  <c r="U1055" i="1"/>
  <c r="U1056" i="1"/>
  <c r="U1058" i="1"/>
  <c r="U1059" i="1"/>
  <c r="U1060" i="1"/>
  <c r="AC1060" i="1" s="1"/>
  <c r="U1061" i="1"/>
  <c r="U1062" i="1"/>
  <c r="U1063" i="1"/>
  <c r="U1064" i="1"/>
  <c r="AC1064" i="1" s="1"/>
  <c r="U1065" i="1"/>
  <c r="AC1065" i="1" s="1"/>
  <c r="U1066" i="1"/>
  <c r="U1067" i="1"/>
  <c r="U1069" i="1"/>
  <c r="U1070" i="1"/>
  <c r="U1072" i="1"/>
  <c r="U1073" i="1"/>
  <c r="AC1073" i="1" s="1"/>
  <c r="U1074" i="1"/>
  <c r="AC1074" i="1" s="1"/>
  <c r="U1075" i="1"/>
  <c r="U1076" i="1"/>
  <c r="AC1076" i="1" s="1"/>
  <c r="U1077" i="1"/>
  <c r="U1078" i="1"/>
  <c r="U1079" i="1"/>
  <c r="U1080" i="1"/>
  <c r="U1082" i="1"/>
  <c r="AC1082" i="1" s="1"/>
  <c r="U1083" i="1"/>
  <c r="U1084" i="1"/>
  <c r="AC1084" i="1" s="1"/>
  <c r="U1085" i="1"/>
  <c r="U1086" i="1"/>
  <c r="U1087" i="1"/>
  <c r="U1088" i="1"/>
  <c r="U1089" i="1"/>
  <c r="U1090" i="1"/>
  <c r="U1091" i="1"/>
  <c r="AC1091" i="1" s="1"/>
  <c r="U1092" i="1"/>
  <c r="U1093" i="1"/>
  <c r="U1094" i="1"/>
  <c r="U1095" i="1"/>
  <c r="U1096" i="1"/>
  <c r="AC1096" i="1" s="1"/>
  <c r="U1097" i="1"/>
  <c r="U1098" i="1"/>
  <c r="U1099" i="1"/>
  <c r="U1100" i="1"/>
  <c r="U1101" i="1"/>
  <c r="AC1101" i="1" s="1"/>
  <c r="U1102" i="1"/>
  <c r="U1103" i="1"/>
  <c r="U1104" i="1"/>
  <c r="U1105" i="1"/>
  <c r="U1106" i="1"/>
  <c r="U1107" i="1"/>
  <c r="U1108" i="1"/>
  <c r="AC1108" i="1" s="1"/>
  <c r="U1109" i="1"/>
  <c r="U1110" i="1"/>
  <c r="AC1110" i="1" s="1"/>
  <c r="U1112" i="1"/>
  <c r="U1113" i="1"/>
  <c r="U1114" i="1"/>
  <c r="U1115" i="1"/>
  <c r="U1116" i="1"/>
  <c r="U1117" i="1"/>
  <c r="U1118" i="1"/>
  <c r="U1119" i="1"/>
  <c r="AC1119" i="1" s="1"/>
  <c r="U1120" i="1"/>
  <c r="U1121" i="1"/>
  <c r="U1122" i="1"/>
  <c r="U1123" i="1"/>
  <c r="AC1123" i="1" s="1"/>
  <c r="U1125" i="1"/>
  <c r="U1127" i="1"/>
  <c r="U1128" i="1"/>
  <c r="AC1128" i="1" s="1"/>
  <c r="U1129" i="1"/>
  <c r="AC1129" i="1" s="1"/>
  <c r="U1130" i="1"/>
  <c r="U1131" i="1"/>
  <c r="U1132" i="1"/>
  <c r="AC1132" i="1" s="1"/>
  <c r="U1133" i="1"/>
  <c r="U1135" i="1"/>
  <c r="U3" i="1"/>
  <c r="AC1094" i="1" l="1"/>
  <c r="AN1094" i="1" s="1"/>
  <c r="BC1094" i="1" s="1"/>
  <c r="BG1094" i="1" s="1"/>
  <c r="AC1077" i="1"/>
  <c r="AN1077" i="1" s="1"/>
  <c r="BC1077" i="1" s="1"/>
  <c r="BG1077" i="1" s="1"/>
  <c r="AC1059" i="1"/>
  <c r="AN1059" i="1" s="1"/>
  <c r="BC1059" i="1" s="1"/>
  <c r="BG1059" i="1" s="1"/>
  <c r="AC1039" i="1"/>
  <c r="AN1039" i="1" s="1"/>
  <c r="BC1039" i="1" s="1"/>
  <c r="BG1039" i="1" s="1"/>
  <c r="AC1023" i="1"/>
  <c r="AN1023" i="1" s="1"/>
  <c r="BC1023" i="1" s="1"/>
  <c r="BG1023" i="1" s="1"/>
  <c r="AC999" i="1"/>
  <c r="AN999" i="1" s="1"/>
  <c r="BC999" i="1" s="1"/>
  <c r="BG999" i="1" s="1"/>
  <c r="AC931" i="1"/>
  <c r="AN931" i="1" s="1"/>
  <c r="BC931" i="1" s="1"/>
  <c r="BG931" i="1" s="1"/>
  <c r="AC867" i="1"/>
  <c r="AN867" i="1" s="1"/>
  <c r="BC867" i="1" s="1"/>
  <c r="BG867" i="1" s="1"/>
  <c r="AC843" i="1"/>
  <c r="AN843" i="1" s="1"/>
  <c r="BC843" i="1" s="1"/>
  <c r="BG843" i="1" s="1"/>
  <c r="AC818" i="1"/>
  <c r="AN818" i="1" s="1"/>
  <c r="BC818" i="1" s="1"/>
  <c r="BG818" i="1" s="1"/>
  <c r="AC791" i="1"/>
  <c r="AN791" i="1" s="1"/>
  <c r="BC791" i="1" s="1"/>
  <c r="BG791" i="1" s="1"/>
  <c r="AC766" i="1"/>
  <c r="AN766" i="1" s="1"/>
  <c r="BC766" i="1" s="1"/>
  <c r="BG766" i="1" s="1"/>
  <c r="AC648" i="1"/>
  <c r="AN648" i="1" s="1"/>
  <c r="BC648" i="1" s="1"/>
  <c r="BG648" i="1" s="1"/>
  <c r="AC622" i="1"/>
  <c r="AN622" i="1" s="1"/>
  <c r="BC622" i="1" s="1"/>
  <c r="BG622" i="1" s="1"/>
  <c r="AC588" i="1"/>
  <c r="AN588" i="1" s="1"/>
  <c r="BC588" i="1" s="1"/>
  <c r="BG588" i="1" s="1"/>
  <c r="AC526" i="1"/>
  <c r="AN526" i="1" s="1"/>
  <c r="BC526" i="1" s="1"/>
  <c r="BG526" i="1" s="1"/>
  <c r="AC510" i="1"/>
  <c r="AN510" i="1" s="1"/>
  <c r="BC510" i="1" s="1"/>
  <c r="BG510" i="1" s="1"/>
  <c r="AC486" i="1"/>
  <c r="AN486" i="1" s="1"/>
  <c r="BC486" i="1" s="1"/>
  <c r="BG486" i="1" s="1"/>
  <c r="AC434" i="1"/>
  <c r="AN434" i="1" s="1"/>
  <c r="BC434" i="1" s="1"/>
  <c r="BG434" i="1" s="1"/>
  <c r="AC418" i="1"/>
  <c r="AN418" i="1" s="1"/>
  <c r="BC418" i="1" s="1"/>
  <c r="BG418" i="1" s="1"/>
  <c r="AC392" i="1"/>
  <c r="AN392" i="1" s="1"/>
  <c r="BC392" i="1" s="1"/>
  <c r="BG392" i="1" s="1"/>
  <c r="AC375" i="1"/>
  <c r="AN375" i="1" s="1"/>
  <c r="BC375" i="1" s="1"/>
  <c r="BG375" i="1" s="1"/>
  <c r="AC356" i="1"/>
  <c r="AN356" i="1" s="1"/>
  <c r="BC356" i="1" s="1"/>
  <c r="BG356" i="1" s="1"/>
  <c r="AC324" i="1"/>
  <c r="AN324" i="1" s="1"/>
  <c r="BC324" i="1" s="1"/>
  <c r="BG324" i="1" s="1"/>
  <c r="AC255" i="1"/>
  <c r="AN255" i="1" s="1"/>
  <c r="BC255" i="1" s="1"/>
  <c r="BG255" i="1" s="1"/>
  <c r="AC131" i="1"/>
  <c r="AN131" i="1" s="1"/>
  <c r="BC131" i="1" s="1"/>
  <c r="BG131" i="1" s="1"/>
  <c r="AC112" i="1"/>
  <c r="AN112" i="1" s="1"/>
  <c r="BC112" i="1" s="1"/>
  <c r="BG112" i="1" s="1"/>
  <c r="AC77" i="1"/>
  <c r="AN77" i="1" s="1"/>
  <c r="BC77" i="1" s="1"/>
  <c r="BG77" i="1" s="1"/>
  <c r="AC27" i="1"/>
  <c r="AN27" i="1" s="1"/>
  <c r="BC27" i="1" s="1"/>
  <c r="BG27" i="1" s="1"/>
  <c r="AC1109" i="1"/>
  <c r="AN1109" i="1" s="1"/>
  <c r="BC1109" i="1" s="1"/>
  <c r="BG1109" i="1" s="1"/>
  <c r="AC1085" i="1"/>
  <c r="AN1085" i="1" s="1"/>
  <c r="BC1085" i="1" s="1"/>
  <c r="BG1085" i="1" s="1"/>
  <c r="AC1046" i="1"/>
  <c r="AN1046" i="1" s="1"/>
  <c r="BC1046" i="1" s="1"/>
  <c r="BG1046" i="1" s="1"/>
  <c r="AC1022" i="1"/>
  <c r="AN1022" i="1" s="1"/>
  <c r="BC1022" i="1" s="1"/>
  <c r="BG1022" i="1" s="1"/>
  <c r="AC998" i="1"/>
  <c r="AN998" i="1" s="1"/>
  <c r="BC998" i="1" s="1"/>
  <c r="BG998" i="1" s="1"/>
  <c r="AC982" i="1"/>
  <c r="AN982" i="1" s="1"/>
  <c r="BC982" i="1" s="1"/>
  <c r="BG982" i="1" s="1"/>
  <c r="AC946" i="1"/>
  <c r="AN946" i="1" s="1"/>
  <c r="BC946" i="1" s="1"/>
  <c r="BG946" i="1" s="1"/>
  <c r="AC914" i="1"/>
  <c r="AN914" i="1" s="1"/>
  <c r="BC914" i="1" s="1"/>
  <c r="BG914" i="1" s="1"/>
  <c r="AC874" i="1"/>
  <c r="AN874" i="1" s="1"/>
  <c r="BC874" i="1" s="1"/>
  <c r="BG874" i="1" s="1"/>
  <c r="AC850" i="1"/>
  <c r="AN850" i="1" s="1"/>
  <c r="BC850" i="1" s="1"/>
  <c r="BG850" i="1" s="1"/>
  <c r="AC834" i="1"/>
  <c r="AN834" i="1" s="1"/>
  <c r="BC834" i="1" s="1"/>
  <c r="BG834" i="1" s="1"/>
  <c r="AC808" i="1"/>
  <c r="AN808" i="1" s="1"/>
  <c r="BC808" i="1" s="1"/>
  <c r="BG808" i="1" s="1"/>
  <c r="AC790" i="1"/>
  <c r="AN790" i="1" s="1"/>
  <c r="BC790" i="1" s="1"/>
  <c r="BG790" i="1" s="1"/>
  <c r="AC757" i="1"/>
  <c r="AN757" i="1" s="1"/>
  <c r="BC757" i="1" s="1"/>
  <c r="BG757" i="1" s="1"/>
  <c r="AC741" i="1"/>
  <c r="AN741" i="1" s="1"/>
  <c r="BC741" i="1" s="1"/>
  <c r="BG741" i="1" s="1"/>
  <c r="AC688" i="1"/>
  <c r="AN688" i="1" s="1"/>
  <c r="BC688" i="1" s="1"/>
  <c r="BG688" i="1" s="1"/>
  <c r="AC631" i="1"/>
  <c r="AN631" i="1" s="1"/>
  <c r="BC631" i="1" s="1"/>
  <c r="BG631" i="1" s="1"/>
  <c r="AC603" i="1"/>
  <c r="AN603" i="1" s="1"/>
  <c r="BC603" i="1" s="1"/>
  <c r="BG603" i="1" s="1"/>
  <c r="AC586" i="1"/>
  <c r="AN586" i="1" s="1"/>
  <c r="BC586" i="1" s="1"/>
  <c r="BG586" i="1" s="1"/>
  <c r="AC550" i="1"/>
  <c r="AN550" i="1" s="1"/>
  <c r="BC550" i="1" s="1"/>
  <c r="BG550" i="1" s="1"/>
  <c r="AC466" i="1"/>
  <c r="AN466" i="1" s="1"/>
  <c r="BC466" i="1" s="1"/>
  <c r="BG466" i="1" s="1"/>
  <c r="AC441" i="1"/>
  <c r="AN441" i="1" s="1"/>
  <c r="BC441" i="1" s="1"/>
  <c r="BG441" i="1" s="1"/>
  <c r="AC425" i="1"/>
  <c r="AN425" i="1" s="1"/>
  <c r="BC425" i="1" s="1"/>
  <c r="BG425" i="1" s="1"/>
  <c r="AC399" i="1"/>
  <c r="AN399" i="1" s="1"/>
  <c r="BC399" i="1" s="1"/>
  <c r="BG399" i="1" s="1"/>
  <c r="AC373" i="1"/>
  <c r="AN373" i="1" s="1"/>
  <c r="BC373" i="1" s="1"/>
  <c r="BG373" i="1" s="1"/>
  <c r="AC347" i="1"/>
  <c r="AN347" i="1" s="1"/>
  <c r="BC347" i="1" s="1"/>
  <c r="BG347" i="1" s="1"/>
  <c r="AC323" i="1"/>
  <c r="AN323" i="1" s="1"/>
  <c r="BC323" i="1" s="1"/>
  <c r="BG323" i="1" s="1"/>
  <c r="AC262" i="1"/>
  <c r="AN262" i="1" s="1"/>
  <c r="BC262" i="1" s="1"/>
  <c r="BG262" i="1" s="1"/>
  <c r="AC221" i="1"/>
  <c r="AN221" i="1" s="1"/>
  <c r="BC221" i="1" s="1"/>
  <c r="BG221" i="1" s="1"/>
  <c r="AC196" i="1"/>
  <c r="AN196" i="1" s="1"/>
  <c r="BC196" i="1" s="1"/>
  <c r="BG196" i="1" s="1"/>
  <c r="AC146" i="1"/>
  <c r="AN146" i="1" s="1"/>
  <c r="BC146" i="1" s="1"/>
  <c r="BG146" i="1" s="1"/>
  <c r="AC119" i="1"/>
  <c r="AN119" i="1" s="1"/>
  <c r="BC119" i="1" s="1"/>
  <c r="BG119" i="1" s="1"/>
  <c r="AC59" i="1"/>
  <c r="AN59" i="1" s="1"/>
  <c r="BC59" i="1" s="1"/>
  <c r="BG59" i="1" s="1"/>
  <c r="AC18" i="1"/>
  <c r="AN18" i="1" s="1"/>
  <c r="BC18" i="1" s="1"/>
  <c r="BG18" i="1" s="1"/>
  <c r="AC1092" i="1"/>
  <c r="AN1092" i="1" s="1"/>
  <c r="BC1092" i="1" s="1"/>
  <c r="BG1092" i="1" s="1"/>
  <c r="AC1056" i="1"/>
  <c r="AN1056" i="1" s="1"/>
  <c r="BC1056" i="1" s="1"/>
  <c r="BG1056" i="1" s="1"/>
  <c r="AC1021" i="1"/>
  <c r="AN1021" i="1" s="1"/>
  <c r="BC1021" i="1" s="1"/>
  <c r="BG1021" i="1" s="1"/>
  <c r="AC929" i="1"/>
  <c r="AN929" i="1" s="1"/>
  <c r="BC929" i="1" s="1"/>
  <c r="BG929" i="1" s="1"/>
  <c r="AC857" i="1"/>
  <c r="AN857" i="1" s="1"/>
  <c r="BC857" i="1" s="1"/>
  <c r="BG857" i="1" s="1"/>
  <c r="AC756" i="1"/>
  <c r="AN756" i="1" s="1"/>
  <c r="BC756" i="1" s="1"/>
  <c r="BG756" i="1" s="1"/>
  <c r="AC732" i="1"/>
  <c r="AN732" i="1" s="1"/>
  <c r="BC732" i="1" s="1"/>
  <c r="BG732" i="1" s="1"/>
  <c r="AC705" i="1"/>
  <c r="AN705" i="1" s="1"/>
  <c r="BC705" i="1" s="1"/>
  <c r="BG705" i="1" s="1"/>
  <c r="AC687" i="1"/>
  <c r="AN687" i="1" s="1"/>
  <c r="BC687" i="1" s="1"/>
  <c r="BG687" i="1" s="1"/>
  <c r="AC654" i="1"/>
  <c r="AN654" i="1" s="1"/>
  <c r="BC654" i="1" s="1"/>
  <c r="BG654" i="1" s="1"/>
  <c r="AC646" i="1"/>
  <c r="AN646" i="1" s="1"/>
  <c r="BC646" i="1" s="1"/>
  <c r="BG646" i="1" s="1"/>
  <c r="AC619" i="1"/>
  <c r="AN619" i="1" s="1"/>
  <c r="BC619" i="1" s="1"/>
  <c r="BG619" i="1" s="1"/>
  <c r="AC594" i="1"/>
  <c r="AN594" i="1" s="1"/>
  <c r="BC594" i="1" s="1"/>
  <c r="BG594" i="1" s="1"/>
  <c r="AC500" i="1"/>
  <c r="AN500" i="1" s="1"/>
  <c r="BC500" i="1" s="1"/>
  <c r="BG500" i="1" s="1"/>
  <c r="AC492" i="1"/>
  <c r="AN492" i="1" s="1"/>
  <c r="BC492" i="1" s="1"/>
  <c r="BG492" i="1" s="1"/>
  <c r="AC456" i="1"/>
  <c r="AN456" i="1" s="1"/>
  <c r="BC456" i="1" s="1"/>
  <c r="BG456" i="1" s="1"/>
  <c r="AC432" i="1"/>
  <c r="AN432" i="1" s="1"/>
  <c r="BC432" i="1" s="1"/>
  <c r="BG432" i="1" s="1"/>
  <c r="AC406" i="1"/>
  <c r="AN406" i="1" s="1"/>
  <c r="BC406" i="1" s="1"/>
  <c r="BG406" i="1" s="1"/>
  <c r="AC338" i="1"/>
  <c r="AN338" i="1" s="1"/>
  <c r="BC338" i="1" s="1"/>
  <c r="BG338" i="1" s="1"/>
  <c r="AC195" i="1"/>
  <c r="AN195" i="1" s="1"/>
  <c r="BC195" i="1" s="1"/>
  <c r="BG195" i="1" s="1"/>
  <c r="AC162" i="1"/>
  <c r="AN162" i="1" s="1"/>
  <c r="BC162" i="1" s="1"/>
  <c r="BG162" i="1" s="1"/>
  <c r="AC145" i="1"/>
  <c r="AN145" i="1" s="1"/>
  <c r="BC145" i="1" s="1"/>
  <c r="BG145" i="1" s="1"/>
  <c r="AC49" i="1"/>
  <c r="AN49" i="1" s="1"/>
  <c r="BC49" i="1" s="1"/>
  <c r="BG49" i="1" s="1"/>
  <c r="AC17" i="1"/>
  <c r="AN17" i="1" s="1"/>
  <c r="BC17" i="1" s="1"/>
  <c r="BG17" i="1" s="1"/>
  <c r="AC1116" i="1"/>
  <c r="AN1116" i="1" s="1"/>
  <c r="BC1116" i="1" s="1"/>
  <c r="BG1116" i="1" s="1"/>
  <c r="AC996" i="1"/>
  <c r="AN996" i="1" s="1"/>
  <c r="BC996" i="1" s="1"/>
  <c r="BG996" i="1" s="1"/>
  <c r="AC928" i="1"/>
  <c r="AN928" i="1" s="1"/>
  <c r="BC928" i="1" s="1"/>
  <c r="BG928" i="1" s="1"/>
  <c r="AC920" i="1"/>
  <c r="AN920" i="1" s="1"/>
  <c r="BC920" i="1" s="1"/>
  <c r="BG920" i="1" s="1"/>
  <c r="AC904" i="1"/>
  <c r="AN904" i="1" s="1"/>
  <c r="BC904" i="1" s="1"/>
  <c r="BG904" i="1" s="1"/>
  <c r="AC880" i="1"/>
  <c r="AN880" i="1" s="1"/>
  <c r="BC880" i="1" s="1"/>
  <c r="BG880" i="1" s="1"/>
  <c r="AC864" i="1"/>
  <c r="AN864" i="1" s="1"/>
  <c r="BC864" i="1" s="1"/>
  <c r="BG864" i="1" s="1"/>
  <c r="AC848" i="1"/>
  <c r="AN848" i="1" s="1"/>
  <c r="BC848" i="1" s="1"/>
  <c r="BG848" i="1" s="1"/>
  <c r="AC824" i="1"/>
  <c r="AN824" i="1" s="1"/>
  <c r="BC824" i="1" s="1"/>
  <c r="BG824" i="1" s="1"/>
  <c r="AC798" i="1"/>
  <c r="AN798" i="1" s="1"/>
  <c r="BC798" i="1" s="1"/>
  <c r="BG798" i="1" s="1"/>
  <c r="AC739" i="1"/>
  <c r="AN739" i="1" s="1"/>
  <c r="BC739" i="1" s="1"/>
  <c r="BG739" i="1" s="1"/>
  <c r="AC661" i="1"/>
  <c r="AN661" i="1" s="1"/>
  <c r="BC661" i="1" s="1"/>
  <c r="BG661" i="1" s="1"/>
  <c r="AC601" i="1"/>
  <c r="AN601" i="1" s="1"/>
  <c r="BC601" i="1" s="1"/>
  <c r="BG601" i="1" s="1"/>
  <c r="AC584" i="1"/>
  <c r="AN584" i="1" s="1"/>
  <c r="BC584" i="1" s="1"/>
  <c r="BG584" i="1" s="1"/>
  <c r="AC515" i="1"/>
  <c r="AN515" i="1" s="1"/>
  <c r="BC515" i="1" s="1"/>
  <c r="BG515" i="1" s="1"/>
  <c r="AC474" i="1"/>
  <c r="AN474" i="1" s="1"/>
  <c r="BC474" i="1" s="1"/>
  <c r="BG474" i="1" s="1"/>
  <c r="AC439" i="1"/>
  <c r="AN439" i="1" s="1"/>
  <c r="BC439" i="1" s="1"/>
  <c r="BG439" i="1" s="1"/>
  <c r="AC405" i="1"/>
  <c r="AN405" i="1" s="1"/>
  <c r="BC405" i="1" s="1"/>
  <c r="BG405" i="1" s="1"/>
  <c r="AC353" i="1"/>
  <c r="AN353" i="1" s="1"/>
  <c r="BC353" i="1" s="1"/>
  <c r="BG353" i="1" s="1"/>
  <c r="AC329" i="1"/>
  <c r="AN329" i="1" s="1"/>
  <c r="BC329" i="1" s="1"/>
  <c r="BG329" i="1" s="1"/>
  <c r="AC244" i="1"/>
  <c r="AN244" i="1" s="1"/>
  <c r="BC244" i="1" s="1"/>
  <c r="BG244" i="1" s="1"/>
  <c r="AC219" i="1"/>
  <c r="AN219" i="1" s="1"/>
  <c r="BC219" i="1" s="1"/>
  <c r="BG219" i="1" s="1"/>
  <c r="AC186" i="1"/>
  <c r="AN186" i="1" s="1"/>
  <c r="BC186" i="1" s="1"/>
  <c r="BG186" i="1" s="1"/>
  <c r="AC177" i="1"/>
  <c r="AN177" i="1" s="1"/>
  <c r="BC177" i="1" s="1"/>
  <c r="BG177" i="1" s="1"/>
  <c r="AC161" i="1"/>
  <c r="AN161" i="1" s="1"/>
  <c r="BC161" i="1" s="1"/>
  <c r="BG161" i="1" s="1"/>
  <c r="AC100" i="1"/>
  <c r="AN100" i="1" s="1"/>
  <c r="BC100" i="1" s="1"/>
  <c r="BG100" i="1" s="1"/>
  <c r="AC48" i="1"/>
  <c r="AN48" i="1" s="1"/>
  <c r="BC48" i="1" s="1"/>
  <c r="BG48" i="1" s="1"/>
  <c r="AC40" i="1"/>
  <c r="AN40" i="1" s="1"/>
  <c r="BC40" i="1" s="1"/>
  <c r="BG40" i="1" s="1"/>
  <c r="AC8" i="1"/>
  <c r="AN8" i="1" s="1"/>
  <c r="BC8" i="1" s="1"/>
  <c r="BG8" i="1" s="1"/>
  <c r="AC1133" i="1"/>
  <c r="AN1133" i="1" s="1"/>
  <c r="BC1133" i="1" s="1"/>
  <c r="BG1133" i="1" s="1"/>
  <c r="AC1115" i="1"/>
  <c r="AN1115" i="1" s="1"/>
  <c r="BC1115" i="1" s="1"/>
  <c r="BG1115" i="1" s="1"/>
  <c r="AC1106" i="1"/>
  <c r="AN1106" i="1" s="1"/>
  <c r="BC1106" i="1" s="1"/>
  <c r="BG1106" i="1" s="1"/>
  <c r="AC1098" i="1"/>
  <c r="AN1098" i="1" s="1"/>
  <c r="BC1098" i="1" s="1"/>
  <c r="BG1098" i="1" s="1"/>
  <c r="AC1090" i="1"/>
  <c r="AN1090" i="1" s="1"/>
  <c r="BC1090" i="1" s="1"/>
  <c r="BG1090" i="1" s="1"/>
  <c r="AC1063" i="1"/>
  <c r="AN1063" i="1" s="1"/>
  <c r="BC1063" i="1" s="1"/>
  <c r="BG1063" i="1" s="1"/>
  <c r="AC1054" i="1"/>
  <c r="AN1054" i="1" s="1"/>
  <c r="BC1054" i="1" s="1"/>
  <c r="BG1054" i="1" s="1"/>
  <c r="AC1027" i="1"/>
  <c r="AN1027" i="1" s="1"/>
  <c r="BC1027" i="1" s="1"/>
  <c r="BG1027" i="1" s="1"/>
  <c r="AC1011" i="1"/>
  <c r="AN1011" i="1" s="1"/>
  <c r="BC1011" i="1" s="1"/>
  <c r="BG1011" i="1" s="1"/>
  <c r="AC995" i="1"/>
  <c r="AN995" i="1" s="1"/>
  <c r="BC995" i="1" s="1"/>
  <c r="BG995" i="1" s="1"/>
  <c r="AC987" i="1"/>
  <c r="AN987" i="1" s="1"/>
  <c r="BC987" i="1" s="1"/>
  <c r="BG987" i="1" s="1"/>
  <c r="AC971" i="1"/>
  <c r="AN971" i="1" s="1"/>
  <c r="BC971" i="1" s="1"/>
  <c r="BG971" i="1" s="1"/>
  <c r="AC961" i="1"/>
  <c r="AN961" i="1" s="1"/>
  <c r="BC961" i="1" s="1"/>
  <c r="BG961" i="1" s="1"/>
  <c r="AC951" i="1"/>
  <c r="AN951" i="1" s="1"/>
  <c r="BC951" i="1" s="1"/>
  <c r="BG951" i="1" s="1"/>
  <c r="AC943" i="1"/>
  <c r="AN943" i="1" s="1"/>
  <c r="BC943" i="1" s="1"/>
  <c r="BG943" i="1" s="1"/>
  <c r="AC935" i="1"/>
  <c r="AN935" i="1" s="1"/>
  <c r="BC935" i="1" s="1"/>
  <c r="BG935" i="1" s="1"/>
  <c r="AC927" i="1"/>
  <c r="AN927" i="1" s="1"/>
  <c r="BC927" i="1" s="1"/>
  <c r="BG927" i="1" s="1"/>
  <c r="AC919" i="1"/>
  <c r="AN919" i="1" s="1"/>
  <c r="BC919" i="1" s="1"/>
  <c r="BG919" i="1" s="1"/>
  <c r="AC903" i="1"/>
  <c r="AN903" i="1" s="1"/>
  <c r="BC903" i="1" s="1"/>
  <c r="BG903" i="1" s="1"/>
  <c r="AC887" i="1"/>
  <c r="AN887" i="1" s="1"/>
  <c r="BC887" i="1" s="1"/>
  <c r="BG887" i="1" s="1"/>
  <c r="AC879" i="1"/>
  <c r="AN879" i="1" s="1"/>
  <c r="BC879" i="1" s="1"/>
  <c r="BG879" i="1" s="1"/>
  <c r="AC871" i="1"/>
  <c r="AN871" i="1" s="1"/>
  <c r="BC871" i="1" s="1"/>
  <c r="BG871" i="1" s="1"/>
  <c r="AC855" i="1"/>
  <c r="AN855" i="1" s="1"/>
  <c r="BC855" i="1" s="1"/>
  <c r="BG855" i="1" s="1"/>
  <c r="AC839" i="1"/>
  <c r="AN839" i="1" s="1"/>
  <c r="BC839" i="1" s="1"/>
  <c r="BG839" i="1" s="1"/>
  <c r="AC831" i="1"/>
  <c r="AN831" i="1" s="1"/>
  <c r="BC831" i="1" s="1"/>
  <c r="BG831" i="1" s="1"/>
  <c r="AC823" i="1"/>
  <c r="AN823" i="1" s="1"/>
  <c r="BC823" i="1" s="1"/>
  <c r="BG823" i="1" s="1"/>
  <c r="AC813" i="1"/>
  <c r="AN813" i="1" s="1"/>
  <c r="BC813" i="1" s="1"/>
  <c r="BG813" i="1" s="1"/>
  <c r="AC805" i="1"/>
  <c r="AN805" i="1" s="1"/>
  <c r="BC805" i="1" s="1"/>
  <c r="BG805" i="1" s="1"/>
  <c r="AC795" i="1"/>
  <c r="AN795" i="1" s="1"/>
  <c r="BC795" i="1" s="1"/>
  <c r="BG795" i="1" s="1"/>
  <c r="AC787" i="1"/>
  <c r="AN787" i="1" s="1"/>
  <c r="BC787" i="1" s="1"/>
  <c r="BG787" i="1" s="1"/>
  <c r="AC779" i="1"/>
  <c r="AN779" i="1" s="1"/>
  <c r="BC779" i="1" s="1"/>
  <c r="BG779" i="1" s="1"/>
  <c r="AC770" i="1"/>
  <c r="AN770" i="1" s="1"/>
  <c r="BC770" i="1" s="1"/>
  <c r="BG770" i="1" s="1"/>
  <c r="AC754" i="1"/>
  <c r="AN754" i="1" s="1"/>
  <c r="BC754" i="1" s="1"/>
  <c r="BG754" i="1" s="1"/>
  <c r="AC746" i="1"/>
  <c r="AN746" i="1" s="1"/>
  <c r="BC746" i="1" s="1"/>
  <c r="BG746" i="1" s="1"/>
  <c r="AC721" i="1"/>
  <c r="AN721" i="1" s="1"/>
  <c r="BC721" i="1" s="1"/>
  <c r="BG721" i="1" s="1"/>
  <c r="AC712" i="1"/>
  <c r="AN712" i="1" s="1"/>
  <c r="BC712" i="1" s="1"/>
  <c r="BG712" i="1" s="1"/>
  <c r="AC702" i="1"/>
  <c r="AN702" i="1" s="1"/>
  <c r="BC702" i="1" s="1"/>
  <c r="BG702" i="1" s="1"/>
  <c r="AC694" i="1"/>
  <c r="AN694" i="1" s="1"/>
  <c r="BC694" i="1" s="1"/>
  <c r="BG694" i="1" s="1"/>
  <c r="AC676" i="1"/>
  <c r="AN676" i="1" s="1"/>
  <c r="BC676" i="1" s="1"/>
  <c r="BG676" i="1" s="1"/>
  <c r="AC668" i="1"/>
  <c r="AN668" i="1" s="1"/>
  <c r="BC668" i="1" s="1"/>
  <c r="BG668" i="1" s="1"/>
  <c r="AC660" i="1"/>
  <c r="AN660" i="1" s="1"/>
  <c r="BC660" i="1" s="1"/>
  <c r="BG660" i="1" s="1"/>
  <c r="AC652" i="1"/>
  <c r="AN652" i="1" s="1"/>
  <c r="BC652" i="1" s="1"/>
  <c r="BG652" i="1" s="1"/>
  <c r="AC617" i="1"/>
  <c r="AN617" i="1" s="1"/>
  <c r="BC617" i="1" s="1"/>
  <c r="BG617" i="1" s="1"/>
  <c r="AC608" i="1"/>
  <c r="AN608" i="1" s="1"/>
  <c r="BC608" i="1" s="1"/>
  <c r="BG608" i="1" s="1"/>
  <c r="AC600" i="1"/>
  <c r="AN600" i="1" s="1"/>
  <c r="BC600" i="1" s="1"/>
  <c r="BG600" i="1" s="1"/>
  <c r="AC592" i="1"/>
  <c r="AN592" i="1" s="1"/>
  <c r="BC592" i="1" s="1"/>
  <c r="BG592" i="1" s="1"/>
  <c r="AC583" i="1"/>
  <c r="AN583" i="1" s="1"/>
  <c r="BC583" i="1" s="1"/>
  <c r="BG583" i="1" s="1"/>
  <c r="AC575" i="1"/>
  <c r="AN575" i="1" s="1"/>
  <c r="BC575" i="1" s="1"/>
  <c r="BG575" i="1" s="1"/>
  <c r="AC555" i="1"/>
  <c r="AN555" i="1" s="1"/>
  <c r="BC555" i="1" s="1"/>
  <c r="BG555" i="1" s="1"/>
  <c r="AC546" i="1"/>
  <c r="AN546" i="1" s="1"/>
  <c r="BC546" i="1" s="1"/>
  <c r="BG546" i="1" s="1"/>
  <c r="AC538" i="1"/>
  <c r="AN538" i="1" s="1"/>
  <c r="BC538" i="1" s="1"/>
  <c r="BG538" i="1" s="1"/>
  <c r="AC522" i="1"/>
  <c r="AN522" i="1" s="1"/>
  <c r="BC522" i="1" s="1"/>
  <c r="BG522" i="1" s="1"/>
  <c r="AC514" i="1"/>
  <c r="AN514" i="1" s="1"/>
  <c r="BC514" i="1" s="1"/>
  <c r="BG514" i="1" s="1"/>
  <c r="AC506" i="1"/>
  <c r="AN506" i="1" s="1"/>
  <c r="BC506" i="1" s="1"/>
  <c r="BG506" i="1" s="1"/>
  <c r="AC498" i="1"/>
  <c r="AN498" i="1" s="1"/>
  <c r="BC498" i="1" s="1"/>
  <c r="BG498" i="1" s="1"/>
  <c r="AC472" i="1"/>
  <c r="AN472" i="1" s="1"/>
  <c r="BC472" i="1" s="1"/>
  <c r="BG472" i="1" s="1"/>
  <c r="AC454" i="1"/>
  <c r="AN454" i="1" s="1"/>
  <c r="BC454" i="1" s="1"/>
  <c r="BG454" i="1" s="1"/>
  <c r="AC446" i="1"/>
  <c r="AN446" i="1" s="1"/>
  <c r="BC446" i="1" s="1"/>
  <c r="BG446" i="1" s="1"/>
  <c r="AC438" i="1"/>
  <c r="AN438" i="1" s="1"/>
  <c r="BC438" i="1" s="1"/>
  <c r="BG438" i="1" s="1"/>
  <c r="AC430" i="1"/>
  <c r="AN430" i="1" s="1"/>
  <c r="BC430" i="1" s="1"/>
  <c r="BG430" i="1" s="1"/>
  <c r="AC396" i="1"/>
  <c r="AN396" i="1" s="1"/>
  <c r="BC396" i="1" s="1"/>
  <c r="BG396" i="1" s="1"/>
  <c r="AC380" i="1"/>
  <c r="AN380" i="1" s="1"/>
  <c r="BC380" i="1" s="1"/>
  <c r="BG380" i="1" s="1"/>
  <c r="AC370" i="1"/>
  <c r="AN370" i="1" s="1"/>
  <c r="BC370" i="1" s="1"/>
  <c r="BG370" i="1" s="1"/>
  <c r="AC352" i="1"/>
  <c r="AN352" i="1" s="1"/>
  <c r="BC352" i="1" s="1"/>
  <c r="BG352" i="1" s="1"/>
  <c r="AC344" i="1"/>
  <c r="AN344" i="1" s="1"/>
  <c r="BC344" i="1" s="1"/>
  <c r="BG344" i="1" s="1"/>
  <c r="AC259" i="1"/>
  <c r="AN259" i="1" s="1"/>
  <c r="BC259" i="1" s="1"/>
  <c r="BG259" i="1" s="1"/>
  <c r="AC243" i="1"/>
  <c r="AN243" i="1" s="1"/>
  <c r="BC243" i="1" s="1"/>
  <c r="BG243" i="1" s="1"/>
  <c r="AC235" i="1"/>
  <c r="AN235" i="1" s="1"/>
  <c r="BC235" i="1" s="1"/>
  <c r="BG235" i="1" s="1"/>
  <c r="AC210" i="1"/>
  <c r="AN210" i="1" s="1"/>
  <c r="BC210" i="1" s="1"/>
  <c r="BG210" i="1" s="1"/>
  <c r="AC193" i="1"/>
  <c r="AN193" i="1" s="1"/>
  <c r="BC193" i="1" s="1"/>
  <c r="BG193" i="1" s="1"/>
  <c r="AC176" i="1"/>
  <c r="AN176" i="1" s="1"/>
  <c r="BC176" i="1" s="1"/>
  <c r="BG176" i="1" s="1"/>
  <c r="AC151" i="1"/>
  <c r="AN151" i="1" s="1"/>
  <c r="BC151" i="1" s="1"/>
  <c r="BG151" i="1" s="1"/>
  <c r="AC135" i="1"/>
  <c r="AN135" i="1" s="1"/>
  <c r="BC135" i="1" s="1"/>
  <c r="BG135" i="1" s="1"/>
  <c r="AC116" i="1"/>
  <c r="AN116" i="1" s="1"/>
  <c r="BC116" i="1" s="1"/>
  <c r="BG116" i="1" s="1"/>
  <c r="AC107" i="1"/>
  <c r="AN107" i="1" s="1"/>
  <c r="BC107" i="1" s="1"/>
  <c r="BG107" i="1" s="1"/>
  <c r="AC89" i="1"/>
  <c r="AN89" i="1" s="1"/>
  <c r="BC89" i="1" s="1"/>
  <c r="BG89" i="1" s="1"/>
  <c r="AC47" i="1"/>
  <c r="AN47" i="1" s="1"/>
  <c r="BC47" i="1" s="1"/>
  <c r="BG47" i="1" s="1"/>
  <c r="AC39" i="1"/>
  <c r="AN39" i="1" s="1"/>
  <c r="BC39" i="1" s="1"/>
  <c r="BG39" i="1" s="1"/>
  <c r="AC31" i="1"/>
  <c r="AN31" i="1" s="1"/>
  <c r="BC31" i="1" s="1"/>
  <c r="BG31" i="1" s="1"/>
  <c r="AC23" i="1"/>
  <c r="AN23" i="1" s="1"/>
  <c r="BC23" i="1" s="1"/>
  <c r="BG23" i="1" s="1"/>
  <c r="AC15" i="1"/>
  <c r="AN15" i="1" s="1"/>
  <c r="BC15" i="1" s="1"/>
  <c r="BG15" i="1" s="1"/>
  <c r="AC7" i="1"/>
  <c r="AN7" i="1" s="1"/>
  <c r="BC7" i="1" s="1"/>
  <c r="BG7" i="1" s="1"/>
  <c r="AC1067" i="1"/>
  <c r="AN1067" i="1" s="1"/>
  <c r="BC1067" i="1" s="1"/>
  <c r="BG1067" i="1" s="1"/>
  <c r="AC983" i="1"/>
  <c r="AN983" i="1" s="1"/>
  <c r="BC983" i="1" s="1"/>
  <c r="BG983" i="1" s="1"/>
  <c r="AC947" i="1"/>
  <c r="AN947" i="1" s="1"/>
  <c r="BC947" i="1" s="1"/>
  <c r="BG947" i="1" s="1"/>
  <c r="AC923" i="1"/>
  <c r="AN923" i="1" s="1"/>
  <c r="BC923" i="1" s="1"/>
  <c r="BG923" i="1" s="1"/>
  <c r="AC891" i="1"/>
  <c r="AN891" i="1" s="1"/>
  <c r="BC891" i="1" s="1"/>
  <c r="BG891" i="1" s="1"/>
  <c r="AC750" i="1"/>
  <c r="AN750" i="1" s="1"/>
  <c r="BC750" i="1" s="1"/>
  <c r="BG750" i="1" s="1"/>
  <c r="AC680" i="1"/>
  <c r="AN680" i="1" s="1"/>
  <c r="BC680" i="1" s="1"/>
  <c r="BG680" i="1" s="1"/>
  <c r="AC640" i="1"/>
  <c r="AN640" i="1" s="1"/>
  <c r="BC640" i="1" s="1"/>
  <c r="BG640" i="1" s="1"/>
  <c r="AC604" i="1"/>
  <c r="AN604" i="1" s="1"/>
  <c r="BC604" i="1" s="1"/>
  <c r="BG604" i="1" s="1"/>
  <c r="AC442" i="1"/>
  <c r="AN442" i="1" s="1"/>
  <c r="BC442" i="1" s="1"/>
  <c r="BG442" i="1" s="1"/>
  <c r="AC408" i="1"/>
  <c r="AN408" i="1" s="1"/>
  <c r="BC408" i="1" s="1"/>
  <c r="BG408" i="1" s="1"/>
  <c r="AC311" i="1"/>
  <c r="AN311" i="1" s="1"/>
  <c r="BC311" i="1" s="1"/>
  <c r="BG311" i="1" s="1"/>
  <c r="AC239" i="1"/>
  <c r="AN239" i="1" s="1"/>
  <c r="BC239" i="1" s="1"/>
  <c r="BG239" i="1" s="1"/>
  <c r="AC206" i="1"/>
  <c r="AN206" i="1" s="1"/>
  <c r="BC206" i="1" s="1"/>
  <c r="BG206" i="1" s="1"/>
  <c r="AC172" i="1"/>
  <c r="AN172" i="1" s="1"/>
  <c r="BC172" i="1" s="1"/>
  <c r="BG172" i="1" s="1"/>
  <c r="AC139" i="1"/>
  <c r="AN139" i="1" s="1"/>
  <c r="BC139" i="1" s="1"/>
  <c r="BG139" i="1" s="1"/>
  <c r="AC94" i="1"/>
  <c r="AN94" i="1" s="1"/>
  <c r="BC94" i="1" s="1"/>
  <c r="BG94" i="1" s="1"/>
  <c r="AC19" i="1"/>
  <c r="AN19" i="1" s="1"/>
  <c r="BC19" i="1" s="1"/>
  <c r="BG19" i="1" s="1"/>
  <c r="AC1093" i="1"/>
  <c r="AN1093" i="1" s="1"/>
  <c r="BC1093" i="1" s="1"/>
  <c r="BG1093" i="1" s="1"/>
  <c r="AC1058" i="1"/>
  <c r="AN1058" i="1" s="1"/>
  <c r="BC1058" i="1" s="1"/>
  <c r="BG1058" i="1" s="1"/>
  <c r="AC966" i="1"/>
  <c r="AN966" i="1" s="1"/>
  <c r="BC966" i="1" s="1"/>
  <c r="BG966" i="1" s="1"/>
  <c r="AC930" i="1"/>
  <c r="AN930" i="1" s="1"/>
  <c r="BC930" i="1" s="1"/>
  <c r="BG930" i="1" s="1"/>
  <c r="AC898" i="1"/>
  <c r="AN898" i="1" s="1"/>
  <c r="BC898" i="1" s="1"/>
  <c r="BG898" i="1" s="1"/>
  <c r="AC858" i="1"/>
  <c r="AN858" i="1" s="1"/>
  <c r="BC858" i="1" s="1"/>
  <c r="BG858" i="1" s="1"/>
  <c r="AC817" i="1"/>
  <c r="AN817" i="1" s="1"/>
  <c r="BC817" i="1" s="1"/>
  <c r="BG817" i="1" s="1"/>
  <c r="AC774" i="1"/>
  <c r="AN774" i="1" s="1"/>
  <c r="BC774" i="1" s="1"/>
  <c r="BG774" i="1" s="1"/>
  <c r="AC733" i="1"/>
  <c r="AN733" i="1" s="1"/>
  <c r="BC733" i="1" s="1"/>
  <c r="BG733" i="1" s="1"/>
  <c r="AC639" i="1"/>
  <c r="AN639" i="1" s="1"/>
  <c r="BC639" i="1" s="1"/>
  <c r="BG639" i="1" s="1"/>
  <c r="AC595" i="1"/>
  <c r="AN595" i="1" s="1"/>
  <c r="BC595" i="1" s="1"/>
  <c r="BG595" i="1" s="1"/>
  <c r="AC525" i="1"/>
  <c r="AN525" i="1" s="1"/>
  <c r="BC525" i="1" s="1"/>
  <c r="BG525" i="1" s="1"/>
  <c r="AC433" i="1"/>
  <c r="AN433" i="1" s="1"/>
  <c r="BC433" i="1" s="1"/>
  <c r="BG433" i="1" s="1"/>
  <c r="AC383" i="1"/>
  <c r="AN383" i="1" s="1"/>
  <c r="BC383" i="1" s="1"/>
  <c r="BG383" i="1" s="1"/>
  <c r="AC339" i="1"/>
  <c r="AN339" i="1" s="1"/>
  <c r="BC339" i="1" s="1"/>
  <c r="BG339" i="1" s="1"/>
  <c r="AC270" i="1"/>
  <c r="AN270" i="1" s="1"/>
  <c r="BC270" i="1" s="1"/>
  <c r="BG270" i="1" s="1"/>
  <c r="AC111" i="1"/>
  <c r="AN111" i="1" s="1"/>
  <c r="BC111" i="1" s="1"/>
  <c r="BG111" i="1" s="1"/>
  <c r="AC84" i="1"/>
  <c r="AN84" i="1" s="1"/>
  <c r="BC84" i="1" s="1"/>
  <c r="BG84" i="1" s="1"/>
  <c r="AC50" i="1"/>
  <c r="AN50" i="1" s="1"/>
  <c r="BC50" i="1" s="1"/>
  <c r="BG50" i="1" s="1"/>
  <c r="AC26" i="1"/>
  <c r="AN26" i="1" s="1"/>
  <c r="BC26" i="1" s="1"/>
  <c r="BG26" i="1" s="1"/>
  <c r="AC1117" i="1"/>
  <c r="AN1117" i="1" s="1"/>
  <c r="BC1117" i="1" s="1"/>
  <c r="BG1117" i="1" s="1"/>
  <c r="AC1029" i="1"/>
  <c r="AN1029" i="1" s="1"/>
  <c r="BC1029" i="1" s="1"/>
  <c r="BG1029" i="1" s="1"/>
  <c r="AC997" i="1"/>
  <c r="AN997" i="1" s="1"/>
  <c r="BC997" i="1" s="1"/>
  <c r="BG997" i="1" s="1"/>
  <c r="AC964" i="1"/>
  <c r="AN964" i="1" s="1"/>
  <c r="BC964" i="1" s="1"/>
  <c r="BG964" i="1" s="1"/>
  <c r="AC881" i="1"/>
  <c r="AN881" i="1" s="1"/>
  <c r="BC881" i="1" s="1"/>
  <c r="BG881" i="1" s="1"/>
  <c r="AC799" i="1"/>
  <c r="AN799" i="1" s="1"/>
  <c r="BC799" i="1" s="1"/>
  <c r="BG799" i="1" s="1"/>
  <c r="AC764" i="1"/>
  <c r="AN764" i="1" s="1"/>
  <c r="BC764" i="1" s="1"/>
  <c r="BG764" i="1" s="1"/>
  <c r="AC723" i="1"/>
  <c r="AN723" i="1" s="1"/>
  <c r="BC723" i="1" s="1"/>
  <c r="BG723" i="1" s="1"/>
  <c r="AC678" i="1"/>
  <c r="AN678" i="1" s="1"/>
  <c r="BC678" i="1" s="1"/>
  <c r="BG678" i="1" s="1"/>
  <c r="AC532" i="1"/>
  <c r="AN532" i="1" s="1"/>
  <c r="BC532" i="1" s="1"/>
  <c r="BG532" i="1" s="1"/>
  <c r="AC448" i="1"/>
  <c r="AN448" i="1" s="1"/>
  <c r="BC448" i="1" s="1"/>
  <c r="BG448" i="1" s="1"/>
  <c r="AC346" i="1"/>
  <c r="AN346" i="1" s="1"/>
  <c r="BC346" i="1" s="1"/>
  <c r="BG346" i="1" s="1"/>
  <c r="AC322" i="1"/>
  <c r="AN322" i="1" s="1"/>
  <c r="BC322" i="1" s="1"/>
  <c r="BG322" i="1" s="1"/>
  <c r="AC253" i="1"/>
  <c r="AN253" i="1" s="1"/>
  <c r="BC253" i="1" s="1"/>
  <c r="BG253" i="1" s="1"/>
  <c r="AC220" i="1"/>
  <c r="AN220" i="1" s="1"/>
  <c r="BC220" i="1" s="1"/>
  <c r="BG220" i="1" s="1"/>
  <c r="AC128" i="1"/>
  <c r="AN128" i="1" s="1"/>
  <c r="BC128" i="1" s="1"/>
  <c r="BG128" i="1" s="1"/>
  <c r="AC41" i="1"/>
  <c r="AN41" i="1" s="1"/>
  <c r="BC41" i="1" s="1"/>
  <c r="BG41" i="1" s="1"/>
  <c r="AC33" i="1"/>
  <c r="AN33" i="1" s="1"/>
  <c r="BC33" i="1" s="1"/>
  <c r="BG33" i="1" s="1"/>
  <c r="AC1135" i="1"/>
  <c r="AN1135" i="1" s="1"/>
  <c r="BC1135" i="1" s="1"/>
  <c r="BG1135" i="1" s="1"/>
  <c r="AC1012" i="1"/>
  <c r="AN1012" i="1" s="1"/>
  <c r="BC1012" i="1" s="1"/>
  <c r="BG1012" i="1" s="1"/>
  <c r="AC972" i="1"/>
  <c r="AN972" i="1" s="1"/>
  <c r="BC972" i="1" s="1"/>
  <c r="BG972" i="1" s="1"/>
  <c r="AC936" i="1"/>
  <c r="AN936" i="1" s="1"/>
  <c r="BC936" i="1" s="1"/>
  <c r="BG936" i="1" s="1"/>
  <c r="AC755" i="1"/>
  <c r="AN755" i="1" s="1"/>
  <c r="BC755" i="1" s="1"/>
  <c r="BG755" i="1" s="1"/>
  <c r="AC722" i="1"/>
  <c r="AN722" i="1" s="1"/>
  <c r="BC722" i="1" s="1"/>
  <c r="BG722" i="1" s="1"/>
  <c r="AC677" i="1"/>
  <c r="AN677" i="1" s="1"/>
  <c r="BC677" i="1" s="1"/>
  <c r="BG677" i="1" s="1"/>
  <c r="AC637" i="1"/>
  <c r="AN637" i="1" s="1"/>
  <c r="BC637" i="1" s="1"/>
  <c r="BG637" i="1" s="1"/>
  <c r="AC566" i="1"/>
  <c r="AN566" i="1" s="1"/>
  <c r="BC566" i="1" s="1"/>
  <c r="BG566" i="1" s="1"/>
  <c r="AC531" i="1"/>
  <c r="AN531" i="1" s="1"/>
  <c r="BC531" i="1" s="1"/>
  <c r="BG531" i="1" s="1"/>
  <c r="AC507" i="1"/>
  <c r="AN507" i="1" s="1"/>
  <c r="BC507" i="1" s="1"/>
  <c r="BG507" i="1" s="1"/>
  <c r="AC463" i="1"/>
  <c r="AN463" i="1" s="1"/>
  <c r="BC463" i="1" s="1"/>
  <c r="BG463" i="1" s="1"/>
  <c r="AC415" i="1"/>
  <c r="AN415" i="1" s="1"/>
  <c r="BC415" i="1" s="1"/>
  <c r="BG415" i="1" s="1"/>
  <c r="AC381" i="1"/>
  <c r="AN381" i="1" s="1"/>
  <c r="BC381" i="1" s="1"/>
  <c r="BG381" i="1" s="1"/>
  <c r="AC337" i="1"/>
  <c r="AN337" i="1" s="1"/>
  <c r="BC337" i="1" s="1"/>
  <c r="BG337" i="1" s="1"/>
  <c r="AC276" i="1"/>
  <c r="AN276" i="1" s="1"/>
  <c r="BC276" i="1" s="1"/>
  <c r="BG276" i="1" s="1"/>
  <c r="AC236" i="1"/>
  <c r="AN236" i="1" s="1"/>
  <c r="BC236" i="1" s="1"/>
  <c r="BG236" i="1" s="1"/>
  <c r="AC211" i="1"/>
  <c r="AN211" i="1" s="1"/>
  <c r="BC211" i="1" s="1"/>
  <c r="BG211" i="1" s="1"/>
  <c r="AC169" i="1"/>
  <c r="AN169" i="1" s="1"/>
  <c r="BC169" i="1" s="1"/>
  <c r="BG169" i="1" s="1"/>
  <c r="AC136" i="1"/>
  <c r="AN136" i="1" s="1"/>
  <c r="BC136" i="1" s="1"/>
  <c r="BG136" i="1" s="1"/>
  <c r="AC91" i="1"/>
  <c r="AN91" i="1" s="1"/>
  <c r="BC91" i="1" s="1"/>
  <c r="BG91" i="1" s="1"/>
  <c r="AC65" i="1"/>
  <c r="AN65" i="1" s="1"/>
  <c r="BC65" i="1" s="1"/>
  <c r="BG65" i="1" s="1"/>
  <c r="AC24" i="1"/>
  <c r="AN24" i="1" s="1"/>
  <c r="BC24" i="1" s="1"/>
  <c r="BG24" i="1" s="1"/>
  <c r="AC1114" i="1"/>
  <c r="AN1114" i="1" s="1"/>
  <c r="BC1114" i="1" s="1"/>
  <c r="BG1114" i="1" s="1"/>
  <c r="AC1089" i="1"/>
  <c r="AN1089" i="1" s="1"/>
  <c r="BC1089" i="1" s="1"/>
  <c r="BG1089" i="1" s="1"/>
  <c r="AC1062" i="1"/>
  <c r="AN1062" i="1" s="1"/>
  <c r="BC1062" i="1" s="1"/>
  <c r="BG1062" i="1" s="1"/>
  <c r="AC1018" i="1"/>
  <c r="AN1018" i="1" s="1"/>
  <c r="BC1018" i="1" s="1"/>
  <c r="BG1018" i="1" s="1"/>
  <c r="AC1002" i="1"/>
  <c r="AN1002" i="1" s="1"/>
  <c r="BC1002" i="1" s="1"/>
  <c r="BG1002" i="1" s="1"/>
  <c r="AC994" i="1"/>
  <c r="AN994" i="1" s="1"/>
  <c r="BC994" i="1" s="1"/>
  <c r="BG994" i="1" s="1"/>
  <c r="AC986" i="1"/>
  <c r="AN986" i="1" s="1"/>
  <c r="BC986" i="1" s="1"/>
  <c r="BG986" i="1" s="1"/>
  <c r="AC978" i="1"/>
  <c r="AN978" i="1" s="1"/>
  <c r="BC978" i="1" s="1"/>
  <c r="BG978" i="1" s="1"/>
  <c r="AC970" i="1"/>
  <c r="AN970" i="1" s="1"/>
  <c r="BC970" i="1" s="1"/>
  <c r="BG970" i="1" s="1"/>
  <c r="AC942" i="1"/>
  <c r="AN942" i="1" s="1"/>
  <c r="BC942" i="1" s="1"/>
  <c r="BG942" i="1" s="1"/>
  <c r="AC934" i="1"/>
  <c r="AN934" i="1" s="1"/>
  <c r="BC934" i="1" s="1"/>
  <c r="BG934" i="1" s="1"/>
  <c r="AC910" i="1"/>
  <c r="AN910" i="1" s="1"/>
  <c r="BC910" i="1" s="1"/>
  <c r="BG910" i="1" s="1"/>
  <c r="AC902" i="1"/>
  <c r="AN902" i="1" s="1"/>
  <c r="BC902" i="1" s="1"/>
  <c r="BG902" i="1" s="1"/>
  <c r="AC886" i="1"/>
  <c r="AN886" i="1" s="1"/>
  <c r="BC886" i="1" s="1"/>
  <c r="BG886" i="1" s="1"/>
  <c r="AC870" i="1"/>
  <c r="AN870" i="1" s="1"/>
  <c r="BC870" i="1" s="1"/>
  <c r="BG870" i="1" s="1"/>
  <c r="AC854" i="1"/>
  <c r="AN854" i="1" s="1"/>
  <c r="BC854" i="1" s="1"/>
  <c r="BG854" i="1" s="1"/>
  <c r="AC846" i="1"/>
  <c r="AN846" i="1" s="1"/>
  <c r="BC846" i="1" s="1"/>
  <c r="BG846" i="1" s="1"/>
  <c r="AC838" i="1"/>
  <c r="AN838" i="1" s="1"/>
  <c r="BC838" i="1" s="1"/>
  <c r="BG838" i="1" s="1"/>
  <c r="AC830" i="1"/>
  <c r="AN830" i="1" s="1"/>
  <c r="BC830" i="1" s="1"/>
  <c r="BG830" i="1" s="1"/>
  <c r="AC822" i="1"/>
  <c r="AN822" i="1" s="1"/>
  <c r="BC822" i="1" s="1"/>
  <c r="BG822" i="1" s="1"/>
  <c r="AC786" i="1"/>
  <c r="AN786" i="1" s="1"/>
  <c r="BC786" i="1" s="1"/>
  <c r="BG786" i="1" s="1"/>
  <c r="AC769" i="1"/>
  <c r="AN769" i="1" s="1"/>
  <c r="BC769" i="1" s="1"/>
  <c r="BG769" i="1" s="1"/>
  <c r="AC761" i="1"/>
  <c r="AN761" i="1" s="1"/>
  <c r="BC761" i="1" s="1"/>
  <c r="BG761" i="1" s="1"/>
  <c r="AC745" i="1"/>
  <c r="AN745" i="1" s="1"/>
  <c r="BC745" i="1" s="1"/>
  <c r="BG745" i="1" s="1"/>
  <c r="AC737" i="1"/>
  <c r="AN737" i="1" s="1"/>
  <c r="BC737" i="1" s="1"/>
  <c r="BG737" i="1" s="1"/>
  <c r="AC720" i="1"/>
  <c r="AN720" i="1" s="1"/>
  <c r="BC720" i="1" s="1"/>
  <c r="BG720" i="1" s="1"/>
  <c r="AC711" i="1"/>
  <c r="AN711" i="1" s="1"/>
  <c r="BC711" i="1" s="1"/>
  <c r="BG711" i="1" s="1"/>
  <c r="AC692" i="1"/>
  <c r="AN692" i="1" s="1"/>
  <c r="BC692" i="1" s="1"/>
  <c r="BG692" i="1" s="1"/>
  <c r="AC684" i="1"/>
  <c r="AN684" i="1" s="1"/>
  <c r="BC684" i="1" s="1"/>
  <c r="BG684" i="1" s="1"/>
  <c r="AC675" i="1"/>
  <c r="AN675" i="1" s="1"/>
  <c r="BC675" i="1" s="1"/>
  <c r="BG675" i="1" s="1"/>
  <c r="AC667" i="1"/>
  <c r="AN667" i="1" s="1"/>
  <c r="BC667" i="1" s="1"/>
  <c r="BG667" i="1" s="1"/>
  <c r="AC659" i="1"/>
  <c r="AN659" i="1" s="1"/>
  <c r="BC659" i="1" s="1"/>
  <c r="BG659" i="1" s="1"/>
  <c r="AC651" i="1"/>
  <c r="AN651" i="1" s="1"/>
  <c r="BC651" i="1" s="1"/>
  <c r="BG651" i="1" s="1"/>
  <c r="AC643" i="1"/>
  <c r="AN643" i="1" s="1"/>
  <c r="BC643" i="1" s="1"/>
  <c r="BG643" i="1" s="1"/>
  <c r="AC635" i="1"/>
  <c r="AN635" i="1" s="1"/>
  <c r="BC635" i="1" s="1"/>
  <c r="BG635" i="1" s="1"/>
  <c r="AC616" i="1"/>
  <c r="AN616" i="1" s="1"/>
  <c r="BC616" i="1" s="1"/>
  <c r="BG616" i="1" s="1"/>
  <c r="AC607" i="1"/>
  <c r="AN607" i="1" s="1"/>
  <c r="BC607" i="1" s="1"/>
  <c r="BG607" i="1" s="1"/>
  <c r="AC591" i="1"/>
  <c r="AN591" i="1" s="1"/>
  <c r="BC591" i="1" s="1"/>
  <c r="BG591" i="1" s="1"/>
  <c r="AC582" i="1"/>
  <c r="AN582" i="1" s="1"/>
  <c r="BC582" i="1" s="1"/>
  <c r="BG582" i="1" s="1"/>
  <c r="AC574" i="1"/>
  <c r="AN574" i="1" s="1"/>
  <c r="BC574" i="1" s="1"/>
  <c r="BG574" i="1" s="1"/>
  <c r="AC563" i="1"/>
  <c r="AN563" i="1" s="1"/>
  <c r="BC563" i="1" s="1"/>
  <c r="BG563" i="1" s="1"/>
  <c r="AC545" i="1"/>
  <c r="AN545" i="1" s="1"/>
  <c r="BC545" i="1" s="1"/>
  <c r="BG545" i="1" s="1"/>
  <c r="AC537" i="1"/>
  <c r="AN537" i="1" s="1"/>
  <c r="BC537" i="1" s="1"/>
  <c r="BG537" i="1" s="1"/>
  <c r="AC529" i="1"/>
  <c r="AN529" i="1" s="1"/>
  <c r="BC529" i="1" s="1"/>
  <c r="BG529" i="1" s="1"/>
  <c r="AC513" i="1"/>
  <c r="AN513" i="1" s="1"/>
  <c r="BC513" i="1" s="1"/>
  <c r="BG513" i="1" s="1"/>
  <c r="AC505" i="1"/>
  <c r="AN505" i="1" s="1"/>
  <c r="BC505" i="1" s="1"/>
  <c r="BG505" i="1" s="1"/>
  <c r="AC497" i="1"/>
  <c r="AN497" i="1" s="1"/>
  <c r="BC497" i="1" s="1"/>
  <c r="BG497" i="1" s="1"/>
  <c r="AC489" i="1"/>
  <c r="AN489" i="1" s="1"/>
  <c r="BC489" i="1" s="1"/>
  <c r="BG489" i="1" s="1"/>
  <c r="AC481" i="1"/>
  <c r="AN481" i="1" s="1"/>
  <c r="BC481" i="1" s="1"/>
  <c r="BG481" i="1" s="1"/>
  <c r="AC471" i="1"/>
  <c r="AN471" i="1" s="1"/>
  <c r="BC471" i="1" s="1"/>
  <c r="BG471" i="1" s="1"/>
  <c r="AC461" i="1"/>
  <c r="AN461" i="1" s="1"/>
  <c r="BC461" i="1" s="1"/>
  <c r="BG461" i="1" s="1"/>
  <c r="AC453" i="1"/>
  <c r="AN453" i="1" s="1"/>
  <c r="BC453" i="1" s="1"/>
  <c r="BG453" i="1" s="1"/>
  <c r="AC429" i="1"/>
  <c r="AN429" i="1" s="1"/>
  <c r="BC429" i="1" s="1"/>
  <c r="BG429" i="1" s="1"/>
  <c r="AC387" i="1"/>
  <c r="AN387" i="1" s="1"/>
  <c r="BC387" i="1" s="1"/>
  <c r="BG387" i="1" s="1"/>
  <c r="AC379" i="1"/>
  <c r="AN379" i="1" s="1"/>
  <c r="BC379" i="1" s="1"/>
  <c r="BG379" i="1" s="1"/>
  <c r="AC351" i="1"/>
  <c r="AN351" i="1" s="1"/>
  <c r="BC351" i="1" s="1"/>
  <c r="BG351" i="1" s="1"/>
  <c r="AC343" i="1"/>
  <c r="AN343" i="1" s="1"/>
  <c r="BC343" i="1" s="1"/>
  <c r="BG343" i="1" s="1"/>
  <c r="AC327" i="1"/>
  <c r="AN327" i="1" s="1"/>
  <c r="BC327" i="1" s="1"/>
  <c r="BG327" i="1" s="1"/>
  <c r="AC317" i="1"/>
  <c r="AN317" i="1" s="1"/>
  <c r="BC317" i="1" s="1"/>
  <c r="BG317" i="1" s="1"/>
  <c r="AC274" i="1"/>
  <c r="AN274" i="1" s="1"/>
  <c r="BC274" i="1" s="1"/>
  <c r="BG274" i="1" s="1"/>
  <c r="AC266" i="1"/>
  <c r="AN266" i="1" s="1"/>
  <c r="BC266" i="1" s="1"/>
  <c r="BG266" i="1" s="1"/>
  <c r="AC250" i="1"/>
  <c r="AN250" i="1" s="1"/>
  <c r="BC250" i="1" s="1"/>
  <c r="BG250" i="1" s="1"/>
  <c r="AC234" i="1"/>
  <c r="AN234" i="1" s="1"/>
  <c r="BC234" i="1" s="1"/>
  <c r="BG234" i="1" s="1"/>
  <c r="AC217" i="1"/>
  <c r="AN217" i="1" s="1"/>
  <c r="BC217" i="1" s="1"/>
  <c r="BG217" i="1" s="1"/>
  <c r="AC201" i="1"/>
  <c r="AN201" i="1" s="1"/>
  <c r="BC201" i="1" s="1"/>
  <c r="BG201" i="1" s="1"/>
  <c r="AC192" i="1"/>
  <c r="AN192" i="1" s="1"/>
  <c r="BC192" i="1" s="1"/>
  <c r="BG192" i="1" s="1"/>
  <c r="AC184" i="1"/>
  <c r="AN184" i="1" s="1"/>
  <c r="BC184" i="1" s="1"/>
  <c r="BG184" i="1" s="1"/>
  <c r="AC175" i="1"/>
  <c r="AN175" i="1" s="1"/>
  <c r="BC175" i="1" s="1"/>
  <c r="BG175" i="1" s="1"/>
  <c r="AC167" i="1"/>
  <c r="AN167" i="1" s="1"/>
  <c r="BC167" i="1" s="1"/>
  <c r="BG167" i="1" s="1"/>
  <c r="AC159" i="1"/>
  <c r="AN159" i="1" s="1"/>
  <c r="BC159" i="1" s="1"/>
  <c r="BG159" i="1" s="1"/>
  <c r="AC150" i="1"/>
  <c r="AN150" i="1" s="1"/>
  <c r="BC150" i="1" s="1"/>
  <c r="BG150" i="1" s="1"/>
  <c r="AC142" i="1"/>
  <c r="AN142" i="1" s="1"/>
  <c r="BC142" i="1" s="1"/>
  <c r="BG142" i="1" s="1"/>
  <c r="AC134" i="1"/>
  <c r="AN134" i="1" s="1"/>
  <c r="BC134" i="1" s="1"/>
  <c r="BG134" i="1" s="1"/>
  <c r="AC125" i="1"/>
  <c r="AN125" i="1" s="1"/>
  <c r="BC125" i="1" s="1"/>
  <c r="BG125" i="1" s="1"/>
  <c r="AC115" i="1"/>
  <c r="AN115" i="1" s="1"/>
  <c r="BC115" i="1" s="1"/>
  <c r="BG115" i="1" s="1"/>
  <c r="AC106" i="1"/>
  <c r="AN106" i="1" s="1"/>
  <c r="BC106" i="1" s="1"/>
  <c r="BG106" i="1" s="1"/>
  <c r="AC80" i="1"/>
  <c r="AN80" i="1" s="1"/>
  <c r="BC80" i="1" s="1"/>
  <c r="BG80" i="1" s="1"/>
  <c r="AC46" i="1"/>
  <c r="AN46" i="1" s="1"/>
  <c r="BC46" i="1" s="1"/>
  <c r="BG46" i="1" s="1"/>
  <c r="AC38" i="1"/>
  <c r="AN38" i="1" s="1"/>
  <c r="BC38" i="1" s="1"/>
  <c r="BG38" i="1" s="1"/>
  <c r="AC30" i="1"/>
  <c r="AN30" i="1" s="1"/>
  <c r="BC30" i="1" s="1"/>
  <c r="BG30" i="1" s="1"/>
  <c r="AC22" i="1"/>
  <c r="AN22" i="1" s="1"/>
  <c r="BC22" i="1" s="1"/>
  <c r="BG22" i="1" s="1"/>
  <c r="AC14" i="1"/>
  <c r="AN14" i="1" s="1"/>
  <c r="BC14" i="1" s="1"/>
  <c r="BG14" i="1" s="1"/>
  <c r="AC6" i="1"/>
  <c r="AN6" i="1" s="1"/>
  <c r="BC6" i="1" s="1"/>
  <c r="BG6" i="1" s="1"/>
  <c r="AC1102" i="1"/>
  <c r="AN1102" i="1" s="1"/>
  <c r="BC1102" i="1" s="1"/>
  <c r="BG1102" i="1" s="1"/>
  <c r="AC975" i="1"/>
  <c r="AN975" i="1" s="1"/>
  <c r="BC975" i="1" s="1"/>
  <c r="BG975" i="1" s="1"/>
  <c r="AC859" i="1"/>
  <c r="AN859" i="1" s="1"/>
  <c r="BC859" i="1" s="1"/>
  <c r="BG859" i="1" s="1"/>
  <c r="AC827" i="1"/>
  <c r="AN827" i="1" s="1"/>
  <c r="BC827" i="1" s="1"/>
  <c r="BG827" i="1" s="1"/>
  <c r="AC801" i="1"/>
  <c r="AN801" i="1" s="1"/>
  <c r="BC801" i="1" s="1"/>
  <c r="BG801" i="1" s="1"/>
  <c r="AC726" i="1"/>
  <c r="AN726" i="1" s="1"/>
  <c r="BC726" i="1" s="1"/>
  <c r="BG726" i="1" s="1"/>
  <c r="AC612" i="1"/>
  <c r="AN612" i="1" s="1"/>
  <c r="BC612" i="1" s="1"/>
  <c r="BG612" i="1" s="1"/>
  <c r="AC579" i="1"/>
  <c r="AN579" i="1" s="1"/>
  <c r="BC579" i="1" s="1"/>
  <c r="BG579" i="1" s="1"/>
  <c r="AC570" i="1"/>
  <c r="AN570" i="1" s="1"/>
  <c r="BC570" i="1" s="1"/>
  <c r="BG570" i="1" s="1"/>
  <c r="AC542" i="1"/>
  <c r="AN542" i="1" s="1"/>
  <c r="BC542" i="1" s="1"/>
  <c r="BG542" i="1" s="1"/>
  <c r="AC518" i="1"/>
  <c r="AN518" i="1" s="1"/>
  <c r="BC518" i="1" s="1"/>
  <c r="BG518" i="1" s="1"/>
  <c r="AC494" i="1"/>
  <c r="AN494" i="1" s="1"/>
  <c r="BC494" i="1" s="1"/>
  <c r="BG494" i="1" s="1"/>
  <c r="AC467" i="1"/>
  <c r="AN467" i="1" s="1"/>
  <c r="BC467" i="1" s="1"/>
  <c r="BG467" i="1" s="1"/>
  <c r="AC400" i="1"/>
  <c r="AN400" i="1" s="1"/>
  <c r="BC400" i="1" s="1"/>
  <c r="BG400" i="1" s="1"/>
  <c r="AC364" i="1"/>
  <c r="AN364" i="1" s="1"/>
  <c r="BC364" i="1" s="1"/>
  <c r="BG364" i="1" s="1"/>
  <c r="AC332" i="1"/>
  <c r="AN332" i="1" s="1"/>
  <c r="BC332" i="1" s="1"/>
  <c r="BG332" i="1" s="1"/>
  <c r="AC247" i="1"/>
  <c r="AN247" i="1" s="1"/>
  <c r="BC247" i="1" s="1"/>
  <c r="BG247" i="1" s="1"/>
  <c r="AC223" i="1"/>
  <c r="AN223" i="1" s="1"/>
  <c r="BC223" i="1" s="1"/>
  <c r="BG223" i="1" s="1"/>
  <c r="AC68" i="1"/>
  <c r="AN68" i="1" s="1"/>
  <c r="BC68" i="1" s="1"/>
  <c r="BG68" i="1" s="1"/>
  <c r="AC11" i="1"/>
  <c r="AN11" i="1" s="1"/>
  <c r="BC11" i="1" s="1"/>
  <c r="BG11" i="1" s="1"/>
  <c r="AC1118" i="1"/>
  <c r="AN1118" i="1" s="1"/>
  <c r="BC1118" i="1" s="1"/>
  <c r="BG1118" i="1" s="1"/>
  <c r="AC1038" i="1"/>
  <c r="AN1038" i="1" s="1"/>
  <c r="BC1038" i="1" s="1"/>
  <c r="BG1038" i="1" s="1"/>
  <c r="AC955" i="1"/>
  <c r="AN955" i="1" s="1"/>
  <c r="BC955" i="1" s="1"/>
  <c r="BG955" i="1" s="1"/>
  <c r="AC938" i="1"/>
  <c r="AN938" i="1" s="1"/>
  <c r="BC938" i="1" s="1"/>
  <c r="BG938" i="1" s="1"/>
  <c r="AC906" i="1"/>
  <c r="AN906" i="1" s="1"/>
  <c r="BC906" i="1" s="1"/>
  <c r="BG906" i="1" s="1"/>
  <c r="AC866" i="1"/>
  <c r="AN866" i="1" s="1"/>
  <c r="BC866" i="1" s="1"/>
  <c r="BG866" i="1" s="1"/>
  <c r="AC782" i="1"/>
  <c r="AN782" i="1" s="1"/>
  <c r="BC782" i="1" s="1"/>
  <c r="BG782" i="1" s="1"/>
  <c r="AC749" i="1"/>
  <c r="AN749" i="1" s="1"/>
  <c r="BC749" i="1" s="1"/>
  <c r="BG749" i="1" s="1"/>
  <c r="AC724" i="1"/>
  <c r="AN724" i="1" s="1"/>
  <c r="BC724" i="1" s="1"/>
  <c r="BG724" i="1" s="1"/>
  <c r="AC611" i="1"/>
  <c r="AN611" i="1" s="1"/>
  <c r="BC611" i="1" s="1"/>
  <c r="BG611" i="1" s="1"/>
  <c r="AC569" i="1"/>
  <c r="AN569" i="1" s="1"/>
  <c r="BC569" i="1" s="1"/>
  <c r="BG569" i="1" s="1"/>
  <c r="AC509" i="1"/>
  <c r="AN509" i="1" s="1"/>
  <c r="BC509" i="1" s="1"/>
  <c r="BG509" i="1" s="1"/>
  <c r="AC417" i="1"/>
  <c r="AN417" i="1" s="1"/>
  <c r="BC417" i="1" s="1"/>
  <c r="BG417" i="1" s="1"/>
  <c r="AC391" i="1"/>
  <c r="AN391" i="1" s="1"/>
  <c r="BC391" i="1" s="1"/>
  <c r="BG391" i="1" s="1"/>
  <c r="AC363" i="1"/>
  <c r="AN363" i="1" s="1"/>
  <c r="BC363" i="1" s="1"/>
  <c r="BG363" i="1" s="1"/>
  <c r="AC331" i="1"/>
  <c r="AN331" i="1" s="1"/>
  <c r="BC331" i="1" s="1"/>
  <c r="BG331" i="1" s="1"/>
  <c r="AC278" i="1"/>
  <c r="AN278" i="1" s="1"/>
  <c r="BC278" i="1" s="1"/>
  <c r="BG278" i="1" s="1"/>
  <c r="AC254" i="1"/>
  <c r="AN254" i="1" s="1"/>
  <c r="BC254" i="1" s="1"/>
  <c r="BG254" i="1" s="1"/>
  <c r="AC163" i="1"/>
  <c r="AN163" i="1" s="1"/>
  <c r="BC163" i="1" s="1"/>
  <c r="BG163" i="1" s="1"/>
  <c r="AC129" i="1"/>
  <c r="AN129" i="1" s="1"/>
  <c r="BC129" i="1" s="1"/>
  <c r="BG129" i="1" s="1"/>
  <c r="AC10" i="1"/>
  <c r="AN10" i="1" s="1"/>
  <c r="BC10" i="1" s="1"/>
  <c r="AC1127" i="1"/>
  <c r="AN1127" i="1" s="1"/>
  <c r="BC1127" i="1" s="1"/>
  <c r="BG1127" i="1" s="1"/>
  <c r="AC1100" i="1"/>
  <c r="AN1100" i="1" s="1"/>
  <c r="BC1100" i="1" s="1"/>
  <c r="BG1100" i="1" s="1"/>
  <c r="AC1075" i="1"/>
  <c r="AN1075" i="1" s="1"/>
  <c r="BC1075" i="1" s="1"/>
  <c r="BG1075" i="1" s="1"/>
  <c r="AC1037" i="1"/>
  <c r="AN1037" i="1" s="1"/>
  <c r="BC1037" i="1" s="1"/>
  <c r="BG1037" i="1" s="1"/>
  <c r="AC973" i="1"/>
  <c r="AN973" i="1" s="1"/>
  <c r="BC973" i="1" s="1"/>
  <c r="BG973" i="1" s="1"/>
  <c r="AC937" i="1"/>
  <c r="AN937" i="1" s="1"/>
  <c r="BC937" i="1" s="1"/>
  <c r="BG937" i="1" s="1"/>
  <c r="AC873" i="1"/>
  <c r="AN873" i="1" s="1"/>
  <c r="BC873" i="1" s="1"/>
  <c r="BG873" i="1" s="1"/>
  <c r="AC849" i="1"/>
  <c r="AN849" i="1" s="1"/>
  <c r="BC849" i="1" s="1"/>
  <c r="BG849" i="1" s="1"/>
  <c r="AC825" i="1"/>
  <c r="AN825" i="1" s="1"/>
  <c r="BC825" i="1" s="1"/>
  <c r="BG825" i="1" s="1"/>
  <c r="AC748" i="1"/>
  <c r="AN748" i="1" s="1"/>
  <c r="BC748" i="1" s="1"/>
  <c r="BG748" i="1" s="1"/>
  <c r="AC638" i="1"/>
  <c r="AN638" i="1" s="1"/>
  <c r="BC638" i="1" s="1"/>
  <c r="BG638" i="1" s="1"/>
  <c r="AC577" i="1"/>
  <c r="AN577" i="1" s="1"/>
  <c r="BC577" i="1" s="1"/>
  <c r="BG577" i="1" s="1"/>
  <c r="AC540" i="1"/>
  <c r="AN540" i="1" s="1"/>
  <c r="BC540" i="1" s="1"/>
  <c r="BG540" i="1" s="1"/>
  <c r="AC508" i="1"/>
  <c r="AN508" i="1" s="1"/>
  <c r="BC508" i="1" s="1"/>
  <c r="BG508" i="1" s="1"/>
  <c r="AC416" i="1"/>
  <c r="AN416" i="1" s="1"/>
  <c r="BC416" i="1" s="1"/>
  <c r="BG416" i="1" s="1"/>
  <c r="AC398" i="1"/>
  <c r="AN398" i="1" s="1"/>
  <c r="BC398" i="1" s="1"/>
  <c r="BG398" i="1" s="1"/>
  <c r="AC372" i="1"/>
  <c r="AN372" i="1" s="1"/>
  <c r="BC372" i="1" s="1"/>
  <c r="BG372" i="1" s="1"/>
  <c r="AC261" i="1"/>
  <c r="AN261" i="1" s="1"/>
  <c r="BC261" i="1" s="1"/>
  <c r="BG261" i="1" s="1"/>
  <c r="AC154" i="1"/>
  <c r="AN154" i="1" s="1"/>
  <c r="BC154" i="1" s="1"/>
  <c r="BG154" i="1" s="1"/>
  <c r="AC118" i="1"/>
  <c r="AN118" i="1" s="1"/>
  <c r="BC118" i="1" s="1"/>
  <c r="BG118" i="1" s="1"/>
  <c r="AC101" i="1"/>
  <c r="AN101" i="1" s="1"/>
  <c r="BC101" i="1" s="1"/>
  <c r="BG101" i="1" s="1"/>
  <c r="AC25" i="1"/>
  <c r="AN25" i="1" s="1"/>
  <c r="BC25" i="1" s="1"/>
  <c r="BG25" i="1" s="1"/>
  <c r="AC1125" i="1"/>
  <c r="AN1125" i="1" s="1"/>
  <c r="BC1125" i="1" s="1"/>
  <c r="BG1125" i="1" s="1"/>
  <c r="AC1099" i="1"/>
  <c r="AN1099" i="1" s="1"/>
  <c r="BC1099" i="1" s="1"/>
  <c r="BG1099" i="1" s="1"/>
  <c r="AC1055" i="1"/>
  <c r="AN1055" i="1" s="1"/>
  <c r="BC1055" i="1" s="1"/>
  <c r="BG1055" i="1" s="1"/>
  <c r="AC872" i="1"/>
  <c r="AN872" i="1" s="1"/>
  <c r="BC872" i="1" s="1"/>
  <c r="BG872" i="1" s="1"/>
  <c r="AC806" i="1"/>
  <c r="AN806" i="1" s="1"/>
  <c r="BC806" i="1" s="1"/>
  <c r="BG806" i="1" s="1"/>
  <c r="AC772" i="1"/>
  <c r="AN772" i="1" s="1"/>
  <c r="BC772" i="1" s="1"/>
  <c r="BG772" i="1" s="1"/>
  <c r="AC747" i="1"/>
  <c r="AN747" i="1" s="1"/>
  <c r="BC747" i="1" s="1"/>
  <c r="BG747" i="1" s="1"/>
  <c r="AC713" i="1"/>
  <c r="AN713" i="1" s="1"/>
  <c r="BC713" i="1" s="1"/>
  <c r="BG713" i="1" s="1"/>
  <c r="AC686" i="1"/>
  <c r="AN686" i="1" s="1"/>
  <c r="BC686" i="1" s="1"/>
  <c r="BG686" i="1" s="1"/>
  <c r="AC645" i="1"/>
  <c r="AN645" i="1" s="1"/>
  <c r="BC645" i="1" s="1"/>
  <c r="BG645" i="1" s="1"/>
  <c r="AC618" i="1"/>
  <c r="AN618" i="1" s="1"/>
  <c r="BC618" i="1" s="1"/>
  <c r="BG618" i="1" s="1"/>
  <c r="AC523" i="1"/>
  <c r="AN523" i="1" s="1"/>
  <c r="BC523" i="1" s="1"/>
  <c r="BG523" i="1" s="1"/>
  <c r="AC483" i="1"/>
  <c r="AN483" i="1" s="1"/>
  <c r="BC483" i="1" s="1"/>
  <c r="BG483" i="1" s="1"/>
  <c r="AC423" i="1"/>
  <c r="AN423" i="1" s="1"/>
  <c r="BC423" i="1" s="1"/>
  <c r="BG423" i="1" s="1"/>
  <c r="AC397" i="1"/>
  <c r="AN397" i="1" s="1"/>
  <c r="BC397" i="1" s="1"/>
  <c r="BG397" i="1" s="1"/>
  <c r="AC361" i="1"/>
  <c r="AN361" i="1" s="1"/>
  <c r="BC361" i="1" s="1"/>
  <c r="BG361" i="1" s="1"/>
  <c r="AC228" i="1"/>
  <c r="AN228" i="1" s="1"/>
  <c r="BC228" i="1" s="1"/>
  <c r="BG228" i="1" s="1"/>
  <c r="AC194" i="1"/>
  <c r="AN194" i="1" s="1"/>
  <c r="BC194" i="1" s="1"/>
  <c r="BG194" i="1" s="1"/>
  <c r="AC152" i="1"/>
  <c r="AN152" i="1" s="1"/>
  <c r="BC152" i="1" s="1"/>
  <c r="BG152" i="1" s="1"/>
  <c r="AC16" i="1"/>
  <c r="AN16" i="1" s="1"/>
  <c r="BC16" i="1" s="1"/>
  <c r="BG16" i="1" s="1"/>
  <c r="AC1122" i="1"/>
  <c r="AN1122" i="1" s="1"/>
  <c r="BC1122" i="1" s="1"/>
  <c r="BG1122" i="1" s="1"/>
  <c r="AC1105" i="1"/>
  <c r="AN1105" i="1" s="1"/>
  <c r="BC1105" i="1" s="1"/>
  <c r="BG1105" i="1" s="1"/>
  <c r="AC1097" i="1"/>
  <c r="AN1097" i="1" s="1"/>
  <c r="BC1097" i="1" s="1"/>
  <c r="BG1097" i="1" s="1"/>
  <c r="AC1080" i="1"/>
  <c r="AN1080" i="1" s="1"/>
  <c r="BC1080" i="1" s="1"/>
  <c r="BG1080" i="1" s="1"/>
  <c r="AC1072" i="1"/>
  <c r="AN1072" i="1" s="1"/>
  <c r="BC1072" i="1" s="1"/>
  <c r="BG1072" i="1" s="1"/>
  <c r="AC1010" i="1"/>
  <c r="AN1010" i="1" s="1"/>
  <c r="BC1010" i="1" s="1"/>
  <c r="BG1010" i="1" s="1"/>
  <c r="AC1131" i="1"/>
  <c r="AN1131" i="1" s="1"/>
  <c r="BC1131" i="1" s="1"/>
  <c r="BG1131" i="1" s="1"/>
  <c r="AC1121" i="1"/>
  <c r="AN1121" i="1" s="1"/>
  <c r="BC1121" i="1" s="1"/>
  <c r="BG1121" i="1" s="1"/>
  <c r="AC1113" i="1"/>
  <c r="AN1113" i="1" s="1"/>
  <c r="BC1113" i="1" s="1"/>
  <c r="BG1113" i="1" s="1"/>
  <c r="AC1104" i="1"/>
  <c r="AN1104" i="1" s="1"/>
  <c r="BC1104" i="1" s="1"/>
  <c r="BG1104" i="1" s="1"/>
  <c r="AC1088" i="1"/>
  <c r="AN1088" i="1" s="1"/>
  <c r="BC1088" i="1" s="1"/>
  <c r="BG1088" i="1" s="1"/>
  <c r="AC1079" i="1"/>
  <c r="AN1079" i="1" s="1"/>
  <c r="BC1079" i="1" s="1"/>
  <c r="BG1079" i="1" s="1"/>
  <c r="AC1070" i="1"/>
  <c r="AN1070" i="1" s="1"/>
  <c r="BC1070" i="1" s="1"/>
  <c r="BG1070" i="1" s="1"/>
  <c r="AC1061" i="1"/>
  <c r="AN1061" i="1" s="1"/>
  <c r="BC1061" i="1" s="1"/>
  <c r="BG1061" i="1" s="1"/>
  <c r="AC1041" i="1"/>
  <c r="AN1041" i="1" s="1"/>
  <c r="BC1041" i="1" s="1"/>
  <c r="BG1041" i="1" s="1"/>
  <c r="AC1033" i="1"/>
  <c r="AN1033" i="1" s="1"/>
  <c r="BC1033" i="1" s="1"/>
  <c r="BG1033" i="1" s="1"/>
  <c r="AC1009" i="1"/>
  <c r="AN1009" i="1" s="1"/>
  <c r="BC1009" i="1" s="1"/>
  <c r="BG1009" i="1" s="1"/>
  <c r="AC1001" i="1"/>
  <c r="AN1001" i="1" s="1"/>
  <c r="BC1001" i="1" s="1"/>
  <c r="BG1001" i="1" s="1"/>
  <c r="AC985" i="1"/>
  <c r="AN985" i="1" s="1"/>
  <c r="BC985" i="1" s="1"/>
  <c r="BG985" i="1" s="1"/>
  <c r="AC949" i="1"/>
  <c r="AN949" i="1" s="1"/>
  <c r="BC949" i="1" s="1"/>
  <c r="BG949" i="1" s="1"/>
  <c r="AC917" i="1"/>
  <c r="AN917" i="1" s="1"/>
  <c r="BC917" i="1" s="1"/>
  <c r="BG917" i="1" s="1"/>
  <c r="AC909" i="1"/>
  <c r="AN909" i="1" s="1"/>
  <c r="BC909" i="1" s="1"/>
  <c r="BG909" i="1" s="1"/>
  <c r="AC901" i="1"/>
  <c r="AN901" i="1" s="1"/>
  <c r="BC901" i="1" s="1"/>
  <c r="BG901" i="1" s="1"/>
  <c r="AC877" i="1"/>
  <c r="AN877" i="1" s="1"/>
  <c r="BC877" i="1" s="1"/>
  <c r="BG877" i="1" s="1"/>
  <c r="AC869" i="1"/>
  <c r="AN869" i="1" s="1"/>
  <c r="BC869" i="1" s="1"/>
  <c r="BG869" i="1" s="1"/>
  <c r="AC845" i="1"/>
  <c r="AN845" i="1" s="1"/>
  <c r="BC845" i="1" s="1"/>
  <c r="BG845" i="1" s="1"/>
  <c r="AC837" i="1"/>
  <c r="AN837" i="1" s="1"/>
  <c r="BC837" i="1" s="1"/>
  <c r="BG837" i="1" s="1"/>
  <c r="AC829" i="1"/>
  <c r="AN829" i="1" s="1"/>
  <c r="BC829" i="1" s="1"/>
  <c r="BG829" i="1" s="1"/>
  <c r="AC811" i="1"/>
  <c r="AN811" i="1" s="1"/>
  <c r="BC811" i="1" s="1"/>
  <c r="BG811" i="1" s="1"/>
  <c r="AC803" i="1"/>
  <c r="AN803" i="1" s="1"/>
  <c r="BC803" i="1" s="1"/>
  <c r="BG803" i="1" s="1"/>
  <c r="AC793" i="1"/>
  <c r="AN793" i="1" s="1"/>
  <c r="BC793" i="1" s="1"/>
  <c r="BG793" i="1" s="1"/>
  <c r="AC785" i="1"/>
  <c r="AN785" i="1" s="1"/>
  <c r="BC785" i="1" s="1"/>
  <c r="BG785" i="1" s="1"/>
  <c r="AC768" i="1"/>
  <c r="AN768" i="1" s="1"/>
  <c r="BC768" i="1" s="1"/>
  <c r="BG768" i="1" s="1"/>
  <c r="AC752" i="1"/>
  <c r="AN752" i="1" s="1"/>
  <c r="BC752" i="1" s="1"/>
  <c r="BG752" i="1" s="1"/>
  <c r="AC744" i="1"/>
  <c r="AN744" i="1" s="1"/>
  <c r="BC744" i="1" s="1"/>
  <c r="BG744" i="1" s="1"/>
  <c r="AC691" i="1"/>
  <c r="AN691" i="1" s="1"/>
  <c r="BC691" i="1" s="1"/>
  <c r="BG691" i="1" s="1"/>
  <c r="AC682" i="1"/>
  <c r="AN682" i="1" s="1"/>
  <c r="BC682" i="1" s="1"/>
  <c r="BG682" i="1" s="1"/>
  <c r="AC674" i="1"/>
  <c r="AN674" i="1" s="1"/>
  <c r="BC674" i="1" s="1"/>
  <c r="BG674" i="1" s="1"/>
  <c r="AC658" i="1"/>
  <c r="AN658" i="1" s="1"/>
  <c r="BC658" i="1" s="1"/>
  <c r="BG658" i="1" s="1"/>
  <c r="AC650" i="1"/>
  <c r="AN650" i="1" s="1"/>
  <c r="BC650" i="1" s="1"/>
  <c r="BG650" i="1" s="1"/>
  <c r="AC642" i="1"/>
  <c r="AN642" i="1" s="1"/>
  <c r="BC642" i="1" s="1"/>
  <c r="BG642" i="1" s="1"/>
  <c r="AC626" i="1"/>
  <c r="AN626" i="1" s="1"/>
  <c r="BC626" i="1" s="1"/>
  <c r="BG626" i="1" s="1"/>
  <c r="AC615" i="1"/>
  <c r="AN615" i="1" s="1"/>
  <c r="BC615" i="1" s="1"/>
  <c r="BG615" i="1" s="1"/>
  <c r="AC598" i="1"/>
  <c r="AN598" i="1" s="1"/>
  <c r="BC598" i="1" s="1"/>
  <c r="BG598" i="1" s="1"/>
  <c r="AC590" i="1"/>
  <c r="AN590" i="1" s="1"/>
  <c r="BC590" i="1" s="1"/>
  <c r="BG590" i="1" s="1"/>
  <c r="AC581" i="1"/>
  <c r="AN581" i="1" s="1"/>
  <c r="BC581" i="1" s="1"/>
  <c r="BG581" i="1" s="1"/>
  <c r="AC572" i="1"/>
  <c r="AN572" i="1" s="1"/>
  <c r="BC572" i="1" s="1"/>
  <c r="BG572" i="1" s="1"/>
  <c r="AC553" i="1"/>
  <c r="AN553" i="1" s="1"/>
  <c r="BC553" i="1" s="1"/>
  <c r="BG553" i="1" s="1"/>
  <c r="AC520" i="1"/>
  <c r="AN520" i="1" s="1"/>
  <c r="BC520" i="1" s="1"/>
  <c r="BG520" i="1" s="1"/>
  <c r="AC488" i="1"/>
  <c r="AN488" i="1" s="1"/>
  <c r="BC488" i="1" s="1"/>
  <c r="BG488" i="1" s="1"/>
  <c r="AC460" i="1"/>
  <c r="AN460" i="1" s="1"/>
  <c r="BC460" i="1" s="1"/>
  <c r="BG460" i="1" s="1"/>
  <c r="AC452" i="1"/>
  <c r="AN452" i="1" s="1"/>
  <c r="BC452" i="1" s="1"/>
  <c r="BG452" i="1" s="1"/>
  <c r="AC444" i="1"/>
  <c r="AN444" i="1" s="1"/>
  <c r="BC444" i="1" s="1"/>
  <c r="BG444" i="1" s="1"/>
  <c r="AC436" i="1"/>
  <c r="AN436" i="1" s="1"/>
  <c r="BC436" i="1" s="1"/>
  <c r="BG436" i="1" s="1"/>
  <c r="AC411" i="1"/>
  <c r="AN411" i="1" s="1"/>
  <c r="BC411" i="1" s="1"/>
  <c r="BG411" i="1" s="1"/>
  <c r="AC394" i="1"/>
  <c r="AN394" i="1" s="1"/>
  <c r="BC394" i="1" s="1"/>
  <c r="BG394" i="1" s="1"/>
  <c r="AC386" i="1"/>
  <c r="AN386" i="1" s="1"/>
  <c r="BC386" i="1" s="1"/>
  <c r="BG386" i="1" s="1"/>
  <c r="AC367" i="1"/>
  <c r="AN367" i="1" s="1"/>
  <c r="BC367" i="1" s="1"/>
  <c r="BG367" i="1" s="1"/>
  <c r="AC358" i="1"/>
  <c r="AN358" i="1" s="1"/>
  <c r="BC358" i="1" s="1"/>
  <c r="BG358" i="1" s="1"/>
  <c r="AC350" i="1"/>
  <c r="AN350" i="1" s="1"/>
  <c r="BC350" i="1" s="1"/>
  <c r="BG350" i="1" s="1"/>
  <c r="AC326" i="1"/>
  <c r="AN326" i="1" s="1"/>
  <c r="BC326" i="1" s="1"/>
  <c r="BG326" i="1" s="1"/>
  <c r="AC273" i="1"/>
  <c r="AN273" i="1" s="1"/>
  <c r="BC273" i="1" s="1"/>
  <c r="BG273" i="1" s="1"/>
  <c r="AC265" i="1"/>
  <c r="AN265" i="1" s="1"/>
  <c r="BC265" i="1" s="1"/>
  <c r="BG265" i="1" s="1"/>
  <c r="AC257" i="1"/>
  <c r="AN257" i="1" s="1"/>
  <c r="BC257" i="1" s="1"/>
  <c r="BG257" i="1" s="1"/>
  <c r="AC249" i="1"/>
  <c r="AN249" i="1" s="1"/>
  <c r="BC249" i="1" s="1"/>
  <c r="BG249" i="1" s="1"/>
  <c r="AC241" i="1"/>
  <c r="AN241" i="1" s="1"/>
  <c r="BC241" i="1" s="1"/>
  <c r="BG241" i="1" s="1"/>
  <c r="AC233" i="1"/>
  <c r="AN233" i="1" s="1"/>
  <c r="BC233" i="1" s="1"/>
  <c r="BG233" i="1" s="1"/>
  <c r="AC225" i="1"/>
  <c r="AN225" i="1" s="1"/>
  <c r="BC225" i="1" s="1"/>
  <c r="BG225" i="1" s="1"/>
  <c r="AC208" i="1"/>
  <c r="AN208" i="1" s="1"/>
  <c r="BC208" i="1" s="1"/>
  <c r="BG208" i="1" s="1"/>
  <c r="AC200" i="1"/>
  <c r="AN200" i="1" s="1"/>
  <c r="BC200" i="1" s="1"/>
  <c r="BG200" i="1" s="1"/>
  <c r="AC191" i="1"/>
  <c r="AN191" i="1" s="1"/>
  <c r="BC191" i="1" s="1"/>
  <c r="BG191" i="1" s="1"/>
  <c r="AC183" i="1"/>
  <c r="AN183" i="1" s="1"/>
  <c r="BC183" i="1" s="1"/>
  <c r="BG183" i="1" s="1"/>
  <c r="AC174" i="1"/>
  <c r="AN174" i="1" s="1"/>
  <c r="BC174" i="1" s="1"/>
  <c r="BG174" i="1" s="1"/>
  <c r="AC166" i="1"/>
  <c r="AN166" i="1" s="1"/>
  <c r="BC166" i="1" s="1"/>
  <c r="BG166" i="1" s="1"/>
  <c r="AC149" i="1"/>
  <c r="AN149" i="1" s="1"/>
  <c r="BC149" i="1" s="1"/>
  <c r="BG149" i="1" s="1"/>
  <c r="AC124" i="1"/>
  <c r="AN124" i="1" s="1"/>
  <c r="BC124" i="1" s="1"/>
  <c r="BG124" i="1" s="1"/>
  <c r="AC114" i="1"/>
  <c r="AN114" i="1" s="1"/>
  <c r="BC114" i="1" s="1"/>
  <c r="BG114" i="1" s="1"/>
  <c r="AC105" i="1"/>
  <c r="AN105" i="1" s="1"/>
  <c r="BC105" i="1" s="1"/>
  <c r="BG105" i="1" s="1"/>
  <c r="AC96" i="1"/>
  <c r="AN96" i="1" s="1"/>
  <c r="BC96" i="1" s="1"/>
  <c r="BG96" i="1" s="1"/>
  <c r="AC87" i="1"/>
  <c r="AN87" i="1" s="1"/>
  <c r="BC87" i="1" s="1"/>
  <c r="BG87" i="1" s="1"/>
  <c r="AC79" i="1"/>
  <c r="AN79" i="1" s="1"/>
  <c r="BC79" i="1" s="1"/>
  <c r="BG79" i="1" s="1"/>
  <c r="AC70" i="1"/>
  <c r="AN70" i="1" s="1"/>
  <c r="BC70" i="1" s="1"/>
  <c r="BG70" i="1" s="1"/>
  <c r="AC45" i="1"/>
  <c r="AN45" i="1" s="1"/>
  <c r="BC45" i="1" s="1"/>
  <c r="BG45" i="1" s="1"/>
  <c r="AC37" i="1"/>
  <c r="AN37" i="1" s="1"/>
  <c r="BC37" i="1" s="1"/>
  <c r="BG37" i="1" s="1"/>
  <c r="AC29" i="1"/>
  <c r="AN29" i="1" s="1"/>
  <c r="BC29" i="1" s="1"/>
  <c r="BG29" i="1" s="1"/>
  <c r="AC21" i="1"/>
  <c r="AN21" i="1" s="1"/>
  <c r="BC21" i="1" s="1"/>
  <c r="BG21" i="1" s="1"/>
  <c r="AC13" i="1"/>
  <c r="AN13" i="1" s="1"/>
  <c r="BC13" i="1" s="1"/>
  <c r="BG13" i="1" s="1"/>
  <c r="AC5" i="1"/>
  <c r="AN5" i="1" s="1"/>
  <c r="BC5" i="1" s="1"/>
  <c r="BG5" i="1" s="1"/>
  <c r="AC1086" i="1"/>
  <c r="AN1086" i="1" s="1"/>
  <c r="BC1086" i="1" s="1"/>
  <c r="BG1086" i="1" s="1"/>
  <c r="AC956" i="1"/>
  <c r="AN956" i="1" s="1"/>
  <c r="BC956" i="1" s="1"/>
  <c r="BG956" i="1" s="1"/>
  <c r="AC883" i="1"/>
  <c r="AN883" i="1" s="1"/>
  <c r="BC883" i="1" s="1"/>
  <c r="BG883" i="1" s="1"/>
  <c r="AC851" i="1"/>
  <c r="AN851" i="1" s="1"/>
  <c r="BC851" i="1" s="1"/>
  <c r="BG851" i="1" s="1"/>
  <c r="AC809" i="1"/>
  <c r="AN809" i="1" s="1"/>
  <c r="BC809" i="1" s="1"/>
  <c r="BG809" i="1" s="1"/>
  <c r="AC775" i="1"/>
  <c r="AN775" i="1" s="1"/>
  <c r="BC775" i="1" s="1"/>
  <c r="BG775" i="1" s="1"/>
  <c r="AC742" i="1"/>
  <c r="AN742" i="1" s="1"/>
  <c r="BC742" i="1" s="1"/>
  <c r="BG742" i="1" s="1"/>
  <c r="AC559" i="1"/>
  <c r="AN559" i="1" s="1"/>
  <c r="BC559" i="1" s="1"/>
  <c r="BG559" i="1" s="1"/>
  <c r="AC271" i="1"/>
  <c r="AN271" i="1" s="1"/>
  <c r="BC271" i="1" s="1"/>
  <c r="BG271" i="1" s="1"/>
  <c r="AC231" i="1"/>
  <c r="AN231" i="1" s="1"/>
  <c r="BC231" i="1" s="1"/>
  <c r="BG231" i="1" s="1"/>
  <c r="AC197" i="1"/>
  <c r="AN197" i="1" s="1"/>
  <c r="BC197" i="1" s="1"/>
  <c r="BG197" i="1" s="1"/>
  <c r="AC164" i="1"/>
  <c r="AN164" i="1" s="1"/>
  <c r="BC164" i="1" s="1"/>
  <c r="BG164" i="1" s="1"/>
  <c r="AC120" i="1"/>
  <c r="AN120" i="1" s="1"/>
  <c r="BC120" i="1" s="1"/>
  <c r="BG120" i="1" s="1"/>
  <c r="AC85" i="1"/>
  <c r="AN85" i="1" s="1"/>
  <c r="BC85" i="1" s="1"/>
  <c r="BG85" i="1" s="1"/>
  <c r="AC60" i="1"/>
  <c r="AN60" i="1" s="1"/>
  <c r="BC60" i="1" s="1"/>
  <c r="BG60" i="1" s="1"/>
  <c r="AC43" i="1"/>
  <c r="AN43" i="1" s="1"/>
  <c r="BC43" i="1" s="1"/>
  <c r="BG43" i="1" s="1"/>
  <c r="AC35" i="1"/>
  <c r="AN35" i="1" s="1"/>
  <c r="BC35" i="1" s="1"/>
  <c r="BG35" i="1" s="1"/>
  <c r="AC1066" i="1"/>
  <c r="AN1066" i="1" s="1"/>
  <c r="BC1066" i="1" s="1"/>
  <c r="BG1066" i="1" s="1"/>
  <c r="AC1030" i="1"/>
  <c r="AN1030" i="1" s="1"/>
  <c r="BC1030" i="1" s="1"/>
  <c r="BG1030" i="1" s="1"/>
  <c r="AC990" i="1"/>
  <c r="AN990" i="1" s="1"/>
  <c r="BC990" i="1" s="1"/>
  <c r="BG990" i="1" s="1"/>
  <c r="AC882" i="1"/>
  <c r="AN882" i="1" s="1"/>
  <c r="BC882" i="1" s="1"/>
  <c r="BG882" i="1" s="1"/>
  <c r="AC842" i="1"/>
  <c r="AN842" i="1" s="1"/>
  <c r="BC842" i="1" s="1"/>
  <c r="BG842" i="1" s="1"/>
  <c r="AC800" i="1"/>
  <c r="AN800" i="1" s="1"/>
  <c r="BC800" i="1" s="1"/>
  <c r="BG800" i="1" s="1"/>
  <c r="AC765" i="1"/>
  <c r="AN765" i="1" s="1"/>
  <c r="BC765" i="1" s="1"/>
  <c r="BG765" i="1" s="1"/>
  <c r="AC697" i="1"/>
  <c r="AN697" i="1" s="1"/>
  <c r="BC697" i="1" s="1"/>
  <c r="BG697" i="1" s="1"/>
  <c r="AC663" i="1"/>
  <c r="AN663" i="1" s="1"/>
  <c r="BC663" i="1" s="1"/>
  <c r="BG663" i="1" s="1"/>
  <c r="AC621" i="1"/>
  <c r="AN621" i="1" s="1"/>
  <c r="BC621" i="1" s="1"/>
  <c r="BG621" i="1" s="1"/>
  <c r="AC578" i="1"/>
  <c r="AN578" i="1" s="1"/>
  <c r="BC578" i="1" s="1"/>
  <c r="BG578" i="1" s="1"/>
  <c r="AC541" i="1"/>
  <c r="AN541" i="1" s="1"/>
  <c r="BC541" i="1" s="1"/>
  <c r="BG541" i="1" s="1"/>
  <c r="AC501" i="1"/>
  <c r="AN501" i="1" s="1"/>
  <c r="BC501" i="1" s="1"/>
  <c r="BG501" i="1" s="1"/>
  <c r="AC355" i="1"/>
  <c r="AN355" i="1" s="1"/>
  <c r="BC355" i="1" s="1"/>
  <c r="BG355" i="1" s="1"/>
  <c r="AC179" i="1"/>
  <c r="AN179" i="1" s="1"/>
  <c r="BC179" i="1" s="1"/>
  <c r="BG179" i="1" s="1"/>
  <c r="AC138" i="1"/>
  <c r="AN138" i="1" s="1"/>
  <c r="BC138" i="1" s="1"/>
  <c r="BG138" i="1" s="1"/>
  <c r="AC102" i="1"/>
  <c r="AN102" i="1" s="1"/>
  <c r="BC102" i="1" s="1"/>
  <c r="BG102" i="1" s="1"/>
  <c r="AC76" i="1"/>
  <c r="AN76" i="1" s="1"/>
  <c r="BC76" i="1" s="1"/>
  <c r="BG76" i="1" s="1"/>
  <c r="AC42" i="1"/>
  <c r="AN42" i="1" s="1"/>
  <c r="BC42" i="1" s="1"/>
  <c r="BG42" i="1" s="1"/>
  <c r="AC34" i="1"/>
  <c r="AN34" i="1" s="1"/>
  <c r="BC34" i="1" s="1"/>
  <c r="BG34" i="1" s="1"/>
  <c r="AC3" i="1"/>
  <c r="AN3" i="1" s="1"/>
  <c r="AC1045" i="1"/>
  <c r="AN1045" i="1" s="1"/>
  <c r="BC1045" i="1" s="1"/>
  <c r="BG1045" i="1" s="1"/>
  <c r="AC1013" i="1"/>
  <c r="AN1013" i="1" s="1"/>
  <c r="BC1013" i="1" s="1"/>
  <c r="BG1013" i="1" s="1"/>
  <c r="AC981" i="1"/>
  <c r="AN981" i="1" s="1"/>
  <c r="BC981" i="1" s="1"/>
  <c r="BG981" i="1" s="1"/>
  <c r="AC945" i="1"/>
  <c r="AN945" i="1" s="1"/>
  <c r="BC945" i="1" s="1"/>
  <c r="BG945" i="1" s="1"/>
  <c r="AC921" i="1"/>
  <c r="AN921" i="1" s="1"/>
  <c r="BC921" i="1" s="1"/>
  <c r="BG921" i="1" s="1"/>
  <c r="AC897" i="1"/>
  <c r="AN897" i="1" s="1"/>
  <c r="BC897" i="1" s="1"/>
  <c r="BG897" i="1" s="1"/>
  <c r="AC865" i="1"/>
  <c r="AN865" i="1" s="1"/>
  <c r="BC865" i="1" s="1"/>
  <c r="BG865" i="1" s="1"/>
  <c r="AC841" i="1"/>
  <c r="AN841" i="1" s="1"/>
  <c r="BC841" i="1" s="1"/>
  <c r="BG841" i="1" s="1"/>
  <c r="AC807" i="1"/>
  <c r="AN807" i="1" s="1"/>
  <c r="BC807" i="1" s="1"/>
  <c r="BG807" i="1" s="1"/>
  <c r="AC773" i="1"/>
  <c r="AN773" i="1" s="1"/>
  <c r="BC773" i="1" s="1"/>
  <c r="BG773" i="1" s="1"/>
  <c r="AC740" i="1"/>
  <c r="AN740" i="1" s="1"/>
  <c r="BC740" i="1" s="1"/>
  <c r="BG740" i="1" s="1"/>
  <c r="AC696" i="1"/>
  <c r="AN696" i="1" s="1"/>
  <c r="BC696" i="1" s="1"/>
  <c r="BG696" i="1" s="1"/>
  <c r="AC662" i="1"/>
  <c r="AN662" i="1" s="1"/>
  <c r="BC662" i="1" s="1"/>
  <c r="BG662" i="1" s="1"/>
  <c r="AC630" i="1"/>
  <c r="AN630" i="1" s="1"/>
  <c r="BC630" i="1" s="1"/>
  <c r="BG630" i="1" s="1"/>
  <c r="AC585" i="1"/>
  <c r="AN585" i="1" s="1"/>
  <c r="BC585" i="1" s="1"/>
  <c r="BG585" i="1" s="1"/>
  <c r="AC549" i="1"/>
  <c r="AN549" i="1" s="1"/>
  <c r="BC549" i="1" s="1"/>
  <c r="BG549" i="1" s="1"/>
  <c r="AC516" i="1"/>
  <c r="AN516" i="1" s="1"/>
  <c r="BC516" i="1" s="1"/>
  <c r="BG516" i="1" s="1"/>
  <c r="AC424" i="1"/>
  <c r="AN424" i="1" s="1"/>
  <c r="BC424" i="1" s="1"/>
  <c r="BG424" i="1" s="1"/>
  <c r="AC390" i="1"/>
  <c r="AN390" i="1" s="1"/>
  <c r="BC390" i="1" s="1"/>
  <c r="BG390" i="1" s="1"/>
  <c r="AC354" i="1"/>
  <c r="AN354" i="1" s="1"/>
  <c r="BC354" i="1" s="1"/>
  <c r="BG354" i="1" s="1"/>
  <c r="AC269" i="1"/>
  <c r="AN269" i="1" s="1"/>
  <c r="BC269" i="1" s="1"/>
  <c r="BG269" i="1" s="1"/>
  <c r="AC137" i="1"/>
  <c r="AN137" i="1" s="1"/>
  <c r="BC137" i="1" s="1"/>
  <c r="BG137" i="1" s="1"/>
  <c r="AC92" i="1"/>
  <c r="AN92" i="1" s="1"/>
  <c r="BC92" i="1" s="1"/>
  <c r="BG92" i="1" s="1"/>
  <c r="AC58" i="1"/>
  <c r="AN58" i="1" s="1"/>
  <c r="BC58" i="1" s="1"/>
  <c r="BG58" i="1" s="1"/>
  <c r="AC9" i="1"/>
  <c r="AN9" i="1" s="1"/>
  <c r="BC9" i="1" s="1"/>
  <c r="BG9" i="1" s="1"/>
  <c r="AC1107" i="1"/>
  <c r="AN1107" i="1" s="1"/>
  <c r="BC1107" i="1" s="1"/>
  <c r="BG1107" i="1" s="1"/>
  <c r="AC1083" i="1"/>
  <c r="AN1083" i="1" s="1"/>
  <c r="BC1083" i="1" s="1"/>
  <c r="BG1083" i="1" s="1"/>
  <c r="AC1020" i="1"/>
  <c r="AN1020" i="1" s="1"/>
  <c r="BC1020" i="1" s="1"/>
  <c r="BG1020" i="1" s="1"/>
  <c r="AC988" i="1"/>
  <c r="AN988" i="1" s="1"/>
  <c r="BC988" i="1" s="1"/>
  <c r="BG988" i="1" s="1"/>
  <c r="AC944" i="1"/>
  <c r="AN944" i="1" s="1"/>
  <c r="BC944" i="1" s="1"/>
  <c r="BG944" i="1" s="1"/>
  <c r="AC814" i="1"/>
  <c r="AN814" i="1" s="1"/>
  <c r="BC814" i="1" s="1"/>
  <c r="BG814" i="1" s="1"/>
  <c r="AC780" i="1"/>
  <c r="AN780" i="1" s="1"/>
  <c r="BC780" i="1" s="1"/>
  <c r="BG780" i="1" s="1"/>
  <c r="AC653" i="1"/>
  <c r="AN653" i="1" s="1"/>
  <c r="BC653" i="1" s="1"/>
  <c r="BG653" i="1" s="1"/>
  <c r="AC576" i="1"/>
  <c r="AN576" i="1" s="1"/>
  <c r="BC576" i="1" s="1"/>
  <c r="BG576" i="1" s="1"/>
  <c r="AC539" i="1"/>
  <c r="AN539" i="1" s="1"/>
  <c r="BC539" i="1" s="1"/>
  <c r="BG539" i="1" s="1"/>
  <c r="AC455" i="1"/>
  <c r="AN455" i="1" s="1"/>
  <c r="BC455" i="1" s="1"/>
  <c r="BG455" i="1" s="1"/>
  <c r="AC431" i="1"/>
  <c r="AN431" i="1" s="1"/>
  <c r="BC431" i="1" s="1"/>
  <c r="BG431" i="1" s="1"/>
  <c r="AC389" i="1"/>
  <c r="AN389" i="1" s="1"/>
  <c r="BC389" i="1" s="1"/>
  <c r="BG389" i="1" s="1"/>
  <c r="AC345" i="1"/>
  <c r="AN345" i="1" s="1"/>
  <c r="BC345" i="1" s="1"/>
  <c r="BG345" i="1" s="1"/>
  <c r="AC32" i="1"/>
  <c r="AN32" i="1" s="1"/>
  <c r="BC32" i="1" s="1"/>
  <c r="BG32" i="1" s="1"/>
  <c r="AC1130" i="1"/>
  <c r="AN1130" i="1" s="1"/>
  <c r="BC1130" i="1" s="1"/>
  <c r="BG1130" i="1" s="1"/>
  <c r="AC1120" i="1"/>
  <c r="AN1120" i="1" s="1"/>
  <c r="BC1120" i="1" s="1"/>
  <c r="BG1120" i="1" s="1"/>
  <c r="AC1112" i="1"/>
  <c r="AN1112" i="1" s="1"/>
  <c r="BC1112" i="1" s="1"/>
  <c r="BG1112" i="1" s="1"/>
  <c r="AC1103" i="1"/>
  <c r="AN1103" i="1" s="1"/>
  <c r="BC1103" i="1" s="1"/>
  <c r="BG1103" i="1" s="1"/>
  <c r="AC1095" i="1"/>
  <c r="AN1095" i="1" s="1"/>
  <c r="BC1095" i="1" s="1"/>
  <c r="BG1095" i="1" s="1"/>
  <c r="AC1087" i="1"/>
  <c r="AN1087" i="1" s="1"/>
  <c r="BC1087" i="1" s="1"/>
  <c r="BG1087" i="1" s="1"/>
  <c r="AC1078" i="1"/>
  <c r="AN1078" i="1" s="1"/>
  <c r="BC1078" i="1" s="1"/>
  <c r="BG1078" i="1" s="1"/>
  <c r="AC1069" i="1"/>
  <c r="AN1069" i="1" s="1"/>
  <c r="BC1069" i="1" s="1"/>
  <c r="BG1069" i="1" s="1"/>
  <c r="AC1048" i="1"/>
  <c r="AN1048" i="1" s="1"/>
  <c r="BC1048" i="1" s="1"/>
  <c r="BG1048" i="1" s="1"/>
  <c r="AC1032" i="1"/>
  <c r="AN1032" i="1" s="1"/>
  <c r="BC1032" i="1" s="1"/>
  <c r="BG1032" i="1" s="1"/>
  <c r="AC1008" i="1"/>
  <c r="AN1008" i="1" s="1"/>
  <c r="BC1008" i="1" s="1"/>
  <c r="BG1008" i="1" s="1"/>
  <c r="AC1000" i="1"/>
  <c r="AN1000" i="1" s="1"/>
  <c r="BC1000" i="1" s="1"/>
  <c r="BG1000" i="1" s="1"/>
  <c r="AC992" i="1"/>
  <c r="AN992" i="1" s="1"/>
  <c r="BC992" i="1" s="1"/>
  <c r="BG992" i="1" s="1"/>
  <c r="AC976" i="1"/>
  <c r="AN976" i="1" s="1"/>
  <c r="BC976" i="1" s="1"/>
  <c r="BG976" i="1" s="1"/>
  <c r="AC968" i="1"/>
  <c r="AN968" i="1" s="1"/>
  <c r="BC968" i="1" s="1"/>
  <c r="BG968" i="1" s="1"/>
  <c r="AC948" i="1"/>
  <c r="AN948" i="1" s="1"/>
  <c r="BC948" i="1" s="1"/>
  <c r="BG948" i="1" s="1"/>
  <c r="AC924" i="1"/>
  <c r="AN924" i="1" s="1"/>
  <c r="BC924" i="1" s="1"/>
  <c r="BG924" i="1" s="1"/>
  <c r="AC916" i="1"/>
  <c r="AN916" i="1" s="1"/>
  <c r="BC916" i="1" s="1"/>
  <c r="BG916" i="1" s="1"/>
  <c r="AC884" i="1"/>
  <c r="AN884" i="1" s="1"/>
  <c r="BC884" i="1" s="1"/>
  <c r="BG884" i="1" s="1"/>
  <c r="AC876" i="1"/>
  <c r="AN876" i="1" s="1"/>
  <c r="BC876" i="1" s="1"/>
  <c r="BG876" i="1" s="1"/>
  <c r="AC868" i="1"/>
  <c r="AN868" i="1" s="1"/>
  <c r="BC868" i="1" s="1"/>
  <c r="BG868" i="1" s="1"/>
  <c r="AC844" i="1"/>
  <c r="AN844" i="1" s="1"/>
  <c r="BC844" i="1" s="1"/>
  <c r="BG844" i="1" s="1"/>
  <c r="AC836" i="1"/>
  <c r="AN836" i="1" s="1"/>
  <c r="BC836" i="1" s="1"/>
  <c r="BG836" i="1" s="1"/>
  <c r="AC828" i="1"/>
  <c r="AN828" i="1" s="1"/>
  <c r="BC828" i="1" s="1"/>
  <c r="BG828" i="1" s="1"/>
  <c r="AC810" i="1"/>
  <c r="AN810" i="1" s="1"/>
  <c r="BC810" i="1" s="1"/>
  <c r="BG810" i="1" s="1"/>
  <c r="AC792" i="1"/>
  <c r="AN792" i="1" s="1"/>
  <c r="BC792" i="1" s="1"/>
  <c r="BG792" i="1" s="1"/>
  <c r="AC784" i="1"/>
  <c r="AN784" i="1" s="1"/>
  <c r="BC784" i="1" s="1"/>
  <c r="BG784" i="1" s="1"/>
  <c r="AC767" i="1"/>
  <c r="AN767" i="1" s="1"/>
  <c r="BC767" i="1" s="1"/>
  <c r="BG767" i="1" s="1"/>
  <c r="AC759" i="1"/>
  <c r="AN759" i="1" s="1"/>
  <c r="BC759" i="1" s="1"/>
  <c r="BG759" i="1" s="1"/>
  <c r="AC751" i="1"/>
  <c r="AN751" i="1" s="1"/>
  <c r="BC751" i="1" s="1"/>
  <c r="BG751" i="1" s="1"/>
  <c r="AC727" i="1"/>
  <c r="AN727" i="1" s="1"/>
  <c r="BC727" i="1" s="1"/>
  <c r="BG727" i="1" s="1"/>
  <c r="AC718" i="1"/>
  <c r="AN718" i="1" s="1"/>
  <c r="BC718" i="1" s="1"/>
  <c r="BG718" i="1" s="1"/>
  <c r="AC709" i="1"/>
  <c r="AN709" i="1" s="1"/>
  <c r="BC709" i="1" s="1"/>
  <c r="BG709" i="1" s="1"/>
  <c r="AC699" i="1"/>
  <c r="AN699" i="1" s="1"/>
  <c r="BC699" i="1" s="1"/>
  <c r="BG699" i="1" s="1"/>
  <c r="AC690" i="1"/>
  <c r="AN690" i="1" s="1"/>
  <c r="BC690" i="1" s="1"/>
  <c r="BG690" i="1" s="1"/>
  <c r="AC681" i="1"/>
  <c r="AN681" i="1" s="1"/>
  <c r="BC681" i="1" s="1"/>
  <c r="BG681" i="1" s="1"/>
  <c r="AC673" i="1"/>
  <c r="AN673" i="1" s="1"/>
  <c r="BC673" i="1" s="1"/>
  <c r="BG673" i="1" s="1"/>
  <c r="AC649" i="1"/>
  <c r="AN649" i="1" s="1"/>
  <c r="BC649" i="1" s="1"/>
  <c r="BG649" i="1" s="1"/>
  <c r="AC641" i="1"/>
  <c r="AN641" i="1" s="1"/>
  <c r="BC641" i="1" s="1"/>
  <c r="BG641" i="1" s="1"/>
  <c r="AC614" i="1"/>
  <c r="AN614" i="1" s="1"/>
  <c r="BC614" i="1" s="1"/>
  <c r="BG614" i="1" s="1"/>
  <c r="AC605" i="1"/>
  <c r="AN605" i="1" s="1"/>
  <c r="BC605" i="1" s="1"/>
  <c r="BG605" i="1" s="1"/>
  <c r="AC597" i="1"/>
  <c r="AN597" i="1" s="1"/>
  <c r="BC597" i="1" s="1"/>
  <c r="BG597" i="1" s="1"/>
  <c r="AC589" i="1"/>
  <c r="AN589" i="1" s="1"/>
  <c r="BC589" i="1" s="1"/>
  <c r="BG589" i="1" s="1"/>
  <c r="AC580" i="1"/>
  <c r="AN580" i="1" s="1"/>
  <c r="BC580" i="1" s="1"/>
  <c r="BG580" i="1" s="1"/>
  <c r="AC560" i="1"/>
  <c r="AN560" i="1" s="1"/>
  <c r="BC560" i="1" s="1"/>
  <c r="BG560" i="1" s="1"/>
  <c r="AC552" i="1"/>
  <c r="AN552" i="1" s="1"/>
  <c r="BC552" i="1" s="1"/>
  <c r="BG552" i="1" s="1"/>
  <c r="AC519" i="1"/>
  <c r="AN519" i="1" s="1"/>
  <c r="BC519" i="1" s="1"/>
  <c r="BG519" i="1" s="1"/>
  <c r="AC511" i="1"/>
  <c r="AN511" i="1" s="1"/>
  <c r="BC511" i="1" s="1"/>
  <c r="BG511" i="1" s="1"/>
  <c r="AC487" i="1"/>
  <c r="AN487" i="1" s="1"/>
  <c r="BC487" i="1" s="1"/>
  <c r="BG487" i="1" s="1"/>
  <c r="AC479" i="1"/>
  <c r="AN479" i="1" s="1"/>
  <c r="BC479" i="1" s="1"/>
  <c r="BG479" i="1" s="1"/>
  <c r="AC435" i="1"/>
  <c r="AN435" i="1" s="1"/>
  <c r="BC435" i="1" s="1"/>
  <c r="BG435" i="1" s="1"/>
  <c r="AC401" i="1"/>
  <c r="AN401" i="1" s="1"/>
  <c r="BC401" i="1" s="1"/>
  <c r="BG401" i="1" s="1"/>
  <c r="AC393" i="1"/>
  <c r="AN393" i="1" s="1"/>
  <c r="BC393" i="1" s="1"/>
  <c r="BG393" i="1" s="1"/>
  <c r="AC385" i="1"/>
  <c r="AN385" i="1" s="1"/>
  <c r="BC385" i="1" s="1"/>
  <c r="BG385" i="1" s="1"/>
  <c r="AC365" i="1"/>
  <c r="AN365" i="1" s="1"/>
  <c r="BC365" i="1" s="1"/>
  <c r="BG365" i="1" s="1"/>
  <c r="AC357" i="1"/>
  <c r="AN357" i="1" s="1"/>
  <c r="BC357" i="1" s="1"/>
  <c r="BG357" i="1" s="1"/>
  <c r="AC349" i="1"/>
  <c r="AN349" i="1" s="1"/>
  <c r="BC349" i="1" s="1"/>
  <c r="BG349" i="1" s="1"/>
  <c r="AC325" i="1"/>
  <c r="AN325" i="1" s="1"/>
  <c r="BC325" i="1" s="1"/>
  <c r="BG325" i="1" s="1"/>
  <c r="AC312" i="1"/>
  <c r="AN312" i="1" s="1"/>
  <c r="BC312" i="1" s="1"/>
  <c r="BG312" i="1" s="1"/>
  <c r="AC272" i="1"/>
  <c r="AN272" i="1" s="1"/>
  <c r="BC272" i="1" s="1"/>
  <c r="BG272" i="1" s="1"/>
  <c r="AC264" i="1"/>
  <c r="AN264" i="1" s="1"/>
  <c r="BC264" i="1" s="1"/>
  <c r="BG264" i="1" s="1"/>
  <c r="AC256" i="1"/>
  <c r="AN256" i="1" s="1"/>
  <c r="BC256" i="1" s="1"/>
  <c r="BG256" i="1" s="1"/>
  <c r="AC248" i="1"/>
  <c r="AN248" i="1" s="1"/>
  <c r="BC248" i="1" s="1"/>
  <c r="BG248" i="1" s="1"/>
  <c r="AC240" i="1"/>
  <c r="AN240" i="1" s="1"/>
  <c r="BC240" i="1" s="1"/>
  <c r="BG240" i="1" s="1"/>
  <c r="AC224" i="1"/>
  <c r="AN224" i="1" s="1"/>
  <c r="BC224" i="1" s="1"/>
  <c r="BG224" i="1" s="1"/>
  <c r="AC207" i="1"/>
  <c r="AN207" i="1" s="1"/>
  <c r="BC207" i="1" s="1"/>
  <c r="BG207" i="1" s="1"/>
  <c r="AC199" i="1"/>
  <c r="AN199" i="1" s="1"/>
  <c r="BC199" i="1" s="1"/>
  <c r="BG199" i="1" s="1"/>
  <c r="AC190" i="1"/>
  <c r="AN190" i="1" s="1"/>
  <c r="BC190" i="1" s="1"/>
  <c r="BG190" i="1" s="1"/>
  <c r="AC173" i="1"/>
  <c r="AN173" i="1" s="1"/>
  <c r="BC173" i="1" s="1"/>
  <c r="BG173" i="1" s="1"/>
  <c r="AC148" i="1"/>
  <c r="AN148" i="1" s="1"/>
  <c r="BC148" i="1" s="1"/>
  <c r="BG148" i="1" s="1"/>
  <c r="AC140" i="1"/>
  <c r="AN140" i="1" s="1"/>
  <c r="BC140" i="1" s="1"/>
  <c r="BG140" i="1" s="1"/>
  <c r="AC122" i="1"/>
  <c r="AN122" i="1" s="1"/>
  <c r="BC122" i="1" s="1"/>
  <c r="BG122" i="1" s="1"/>
  <c r="AC113" i="1"/>
  <c r="AN113" i="1" s="1"/>
  <c r="BC113" i="1" s="1"/>
  <c r="BG113" i="1" s="1"/>
  <c r="AC86" i="1"/>
  <c r="AN86" i="1" s="1"/>
  <c r="BC86" i="1" s="1"/>
  <c r="BG86" i="1" s="1"/>
  <c r="AC78" i="1"/>
  <c r="AN78" i="1" s="1"/>
  <c r="BC78" i="1" s="1"/>
  <c r="BG78" i="1" s="1"/>
  <c r="AC69" i="1"/>
  <c r="AN69" i="1" s="1"/>
  <c r="BC69" i="1" s="1"/>
  <c r="BG69" i="1" s="1"/>
  <c r="AC61" i="1"/>
  <c r="AN61" i="1" s="1"/>
  <c r="BC61" i="1" s="1"/>
  <c r="BG61" i="1" s="1"/>
  <c r="AC44" i="1"/>
  <c r="AN44" i="1" s="1"/>
  <c r="BC44" i="1" s="1"/>
  <c r="BG44" i="1" s="1"/>
  <c r="AC36" i="1"/>
  <c r="AN36" i="1" s="1"/>
  <c r="BC36" i="1" s="1"/>
  <c r="BG36" i="1" s="1"/>
  <c r="AC28" i="1"/>
  <c r="AN28" i="1" s="1"/>
  <c r="BC28" i="1" s="1"/>
  <c r="BG28" i="1" s="1"/>
  <c r="AC20" i="1"/>
  <c r="AN20" i="1" s="1"/>
  <c r="BC20" i="1" s="1"/>
  <c r="BG20" i="1" s="1"/>
  <c r="AC12" i="1"/>
  <c r="AN12" i="1" s="1"/>
  <c r="BC12" i="1" s="1"/>
  <c r="BG12" i="1" s="1"/>
  <c r="AC4" i="1"/>
  <c r="AN4" i="1" s="1"/>
  <c r="BC4" i="1" s="1"/>
  <c r="BG4" i="1" s="1"/>
  <c r="AN52" i="1"/>
  <c r="BC52" i="1" s="1"/>
  <c r="BG52" i="1" s="1"/>
  <c r="AN56" i="1"/>
  <c r="BC56" i="1" s="1"/>
  <c r="BG56" i="1" s="1"/>
  <c r="AN54" i="1"/>
  <c r="BC54" i="1" s="1"/>
  <c r="BG54" i="1" s="1"/>
  <c r="AN55" i="1"/>
  <c r="BC55" i="1" s="1"/>
  <c r="BG55" i="1" s="1"/>
  <c r="AN53" i="1"/>
  <c r="BC53" i="1" s="1"/>
  <c r="BG53" i="1" s="1"/>
  <c r="N1136" i="1"/>
  <c r="F310" i="1"/>
  <c r="BC3" i="1" l="1"/>
  <c r="BG3" i="1" s="1"/>
  <c r="BG10" i="1"/>
  <c r="P1136" i="1"/>
  <c r="G1136" i="1" l="1"/>
  <c r="H1136" i="1"/>
  <c r="I1136" i="1"/>
  <c r="J1136" i="1"/>
  <c r="K1136" i="1"/>
  <c r="L1136" i="1"/>
  <c r="O1136" i="1"/>
  <c r="Q1136" i="1"/>
  <c r="R1136" i="1"/>
  <c r="S1136" i="1"/>
  <c r="T1136" i="1"/>
  <c r="M110" i="1" l="1"/>
  <c r="U110" i="1" s="1"/>
  <c r="AC110" i="1" l="1"/>
  <c r="AN110" i="1" s="1"/>
  <c r="BC110" i="1" s="1"/>
  <c r="BG110" i="1" s="1"/>
  <c r="M51" i="1"/>
  <c r="U51" i="1" s="1"/>
  <c r="M71" i="1"/>
  <c r="U71" i="1" s="1"/>
  <c r="M90" i="1"/>
  <c r="U90" i="1" s="1"/>
  <c r="M99" i="1"/>
  <c r="U99" i="1" s="1"/>
  <c r="M121" i="1"/>
  <c r="U121" i="1" s="1"/>
  <c r="M123" i="1"/>
  <c r="U123" i="1" s="1"/>
  <c r="M130" i="1"/>
  <c r="U130" i="1" s="1"/>
  <c r="M153" i="1"/>
  <c r="U153" i="1" s="1"/>
  <c r="M180" i="1"/>
  <c r="U180" i="1" s="1"/>
  <c r="M198" i="1"/>
  <c r="U198" i="1" s="1"/>
  <c r="M222" i="1"/>
  <c r="U222" i="1" s="1"/>
  <c r="M279" i="1"/>
  <c r="U279" i="1" s="1"/>
  <c r="M280" i="1"/>
  <c r="U280" i="1" s="1"/>
  <c r="M281" i="1"/>
  <c r="U281" i="1" s="1"/>
  <c r="M282" i="1"/>
  <c r="U282" i="1" s="1"/>
  <c r="M283" i="1"/>
  <c r="U283" i="1" s="1"/>
  <c r="M284" i="1"/>
  <c r="U284" i="1" s="1"/>
  <c r="M285" i="1"/>
  <c r="U285" i="1" s="1"/>
  <c r="M286" i="1"/>
  <c r="U286" i="1" s="1"/>
  <c r="M287" i="1"/>
  <c r="U287" i="1" s="1"/>
  <c r="M288" i="1"/>
  <c r="U288" i="1" s="1"/>
  <c r="M289" i="1"/>
  <c r="U289" i="1" s="1"/>
  <c r="M290" i="1"/>
  <c r="U290" i="1" s="1"/>
  <c r="M291" i="1"/>
  <c r="U291" i="1" s="1"/>
  <c r="M292" i="1"/>
  <c r="U292" i="1" s="1"/>
  <c r="M293" i="1"/>
  <c r="U293" i="1" s="1"/>
  <c r="M294" i="1"/>
  <c r="U294" i="1" s="1"/>
  <c r="M295" i="1"/>
  <c r="U295" i="1" s="1"/>
  <c r="M296" i="1"/>
  <c r="U296" i="1" s="1"/>
  <c r="M297" i="1"/>
  <c r="U297" i="1" s="1"/>
  <c r="M298" i="1"/>
  <c r="U298" i="1" s="1"/>
  <c r="M299" i="1"/>
  <c r="U299" i="1" s="1"/>
  <c r="M300" i="1"/>
  <c r="U300" i="1" s="1"/>
  <c r="M301" i="1"/>
  <c r="U301" i="1" s="1"/>
  <c r="M302" i="1"/>
  <c r="U302" i="1" s="1"/>
  <c r="M303" i="1"/>
  <c r="U303" i="1" s="1"/>
  <c r="M304" i="1"/>
  <c r="U304" i="1" s="1"/>
  <c r="M305" i="1"/>
  <c r="U305" i="1" s="1"/>
  <c r="M306" i="1"/>
  <c r="U306" i="1" s="1"/>
  <c r="M307" i="1"/>
  <c r="U307" i="1" s="1"/>
  <c r="M308" i="1"/>
  <c r="U308" i="1" s="1"/>
  <c r="M309" i="1"/>
  <c r="U309" i="1" s="1"/>
  <c r="M310" i="1"/>
  <c r="U310" i="1" s="1"/>
  <c r="M313" i="1"/>
  <c r="U313" i="1" s="1"/>
  <c r="M314" i="1"/>
  <c r="U314" i="1" s="1"/>
  <c r="M315" i="1"/>
  <c r="U315" i="1" s="1"/>
  <c r="M318" i="1"/>
  <c r="U318" i="1" s="1"/>
  <c r="M319" i="1"/>
  <c r="U319" i="1" s="1"/>
  <c r="M366" i="1"/>
  <c r="U366" i="1" s="1"/>
  <c r="M368" i="1"/>
  <c r="U368" i="1" s="1"/>
  <c r="M374" i="1"/>
  <c r="U374" i="1" s="1"/>
  <c r="M378" i="1"/>
  <c r="U378" i="1" s="1"/>
  <c r="M410" i="1"/>
  <c r="U410" i="1" s="1"/>
  <c r="M412" i="1"/>
  <c r="U412" i="1" s="1"/>
  <c r="M464" i="1"/>
  <c r="U464" i="1" s="1"/>
  <c r="M470" i="1"/>
  <c r="U470" i="1" s="1"/>
  <c r="M473" i="1"/>
  <c r="U473" i="1" s="1"/>
  <c r="M478" i="1"/>
  <c r="U478" i="1" s="1"/>
  <c r="M548" i="1"/>
  <c r="U548" i="1" s="1"/>
  <c r="M561" i="1"/>
  <c r="U561" i="1" s="1"/>
  <c r="M564" i="1"/>
  <c r="U564" i="1" s="1"/>
  <c r="M567" i="1"/>
  <c r="U567" i="1" s="1"/>
  <c r="M573" i="1"/>
  <c r="U573" i="1" s="1"/>
  <c r="M587" i="1"/>
  <c r="U587" i="1" s="1"/>
  <c r="M613" i="1"/>
  <c r="U613" i="1" s="1"/>
  <c r="M620" i="1"/>
  <c r="U620" i="1" s="1"/>
  <c r="M623" i="1"/>
  <c r="U623" i="1" s="1"/>
  <c r="M624" i="1"/>
  <c r="U624" i="1" s="1"/>
  <c r="M683" i="1"/>
  <c r="U683" i="1" s="1"/>
  <c r="M693" i="1"/>
  <c r="U693" i="1" s="1"/>
  <c r="M704" i="1"/>
  <c r="U704" i="1" s="1"/>
  <c r="M707" i="1"/>
  <c r="U707" i="1" s="1"/>
  <c r="M717" i="1"/>
  <c r="U717" i="1" s="1"/>
  <c r="M725" i="1"/>
  <c r="U725" i="1" s="1"/>
  <c r="M771" i="1"/>
  <c r="U771" i="1" s="1"/>
  <c r="M796" i="1"/>
  <c r="U796" i="1" s="1"/>
  <c r="M797" i="1"/>
  <c r="U797" i="1" s="1"/>
  <c r="M816" i="1"/>
  <c r="U816" i="1" s="1"/>
  <c r="M820" i="1"/>
  <c r="U820" i="1" s="1"/>
  <c r="M953" i="1"/>
  <c r="U953" i="1" s="1"/>
  <c r="M958" i="1"/>
  <c r="U958" i="1" s="1"/>
  <c r="M963" i="1"/>
  <c r="U963" i="1" s="1"/>
  <c r="M965" i="1"/>
  <c r="U965" i="1" s="1"/>
  <c r="M1050" i="1"/>
  <c r="U1050" i="1" s="1"/>
  <c r="M1051" i="1"/>
  <c r="U1051" i="1" s="1"/>
  <c r="M1052" i="1"/>
  <c r="U1052" i="1" s="1"/>
  <c r="M1057" i="1"/>
  <c r="U1057" i="1" s="1"/>
  <c r="M1068" i="1"/>
  <c r="U1068" i="1" s="1"/>
  <c r="M1071" i="1"/>
  <c r="U1071" i="1" s="1"/>
  <c r="M1081" i="1"/>
  <c r="U1081" i="1" s="1"/>
  <c r="M1111" i="1"/>
  <c r="U1111" i="1" s="1"/>
  <c r="M1124" i="1"/>
  <c r="U1124" i="1" s="1"/>
  <c r="M1126" i="1"/>
  <c r="U1126" i="1" s="1"/>
  <c r="M1134" i="1"/>
  <c r="U1134" i="1" s="1"/>
  <c r="AC1052" i="1" l="1"/>
  <c r="AN1052" i="1" s="1"/>
  <c r="BC1052" i="1" s="1"/>
  <c r="BG1052" i="1" s="1"/>
  <c r="AC315" i="1"/>
  <c r="AN315" i="1" s="1"/>
  <c r="BC315" i="1" s="1"/>
  <c r="BG315" i="1" s="1"/>
  <c r="AC281" i="1"/>
  <c r="AN281" i="1" s="1"/>
  <c r="BC281" i="1" s="1"/>
  <c r="BG281" i="1" s="1"/>
  <c r="AC564" i="1"/>
  <c r="AN564" i="1" s="1"/>
  <c r="BC564" i="1" s="1"/>
  <c r="BG564" i="1" s="1"/>
  <c r="AC296" i="1"/>
  <c r="AN296" i="1" s="1"/>
  <c r="BC296" i="1" s="1"/>
  <c r="BG296" i="1" s="1"/>
  <c r="AC796" i="1"/>
  <c r="AN796" i="1" s="1"/>
  <c r="BC796" i="1" s="1"/>
  <c r="BG796" i="1" s="1"/>
  <c r="AC313" i="1"/>
  <c r="AN313" i="1" s="1"/>
  <c r="BC313" i="1" s="1"/>
  <c r="BG313" i="1" s="1"/>
  <c r="AC279" i="1"/>
  <c r="AN279" i="1" s="1"/>
  <c r="BC279" i="1" s="1"/>
  <c r="BG279" i="1" s="1"/>
  <c r="AC99" i="1"/>
  <c r="AN99" i="1" s="1"/>
  <c r="BC99" i="1" s="1"/>
  <c r="BG99" i="1" s="1"/>
  <c r="AC1111" i="1"/>
  <c r="AN1111" i="1" s="1"/>
  <c r="BC1111" i="1" s="1"/>
  <c r="BG1111" i="1" s="1"/>
  <c r="AC965" i="1"/>
  <c r="AN965" i="1" s="1"/>
  <c r="BC965" i="1" s="1"/>
  <c r="BG965" i="1" s="1"/>
  <c r="AC771" i="1"/>
  <c r="AN771" i="1" s="1"/>
  <c r="BC771" i="1" s="1"/>
  <c r="BG771" i="1" s="1"/>
  <c r="AC623" i="1"/>
  <c r="AN623" i="1" s="1"/>
  <c r="BC623" i="1" s="1"/>
  <c r="BG623" i="1" s="1"/>
  <c r="AC548" i="1"/>
  <c r="AN548" i="1" s="1"/>
  <c r="BC548" i="1" s="1"/>
  <c r="BG548" i="1" s="1"/>
  <c r="AC374" i="1"/>
  <c r="AN374" i="1" s="1"/>
  <c r="BC374" i="1" s="1"/>
  <c r="BG374" i="1" s="1"/>
  <c r="AC310" i="1"/>
  <c r="AN310" i="1" s="1"/>
  <c r="BC310" i="1" s="1"/>
  <c r="BG310" i="1" s="1"/>
  <c r="AC302" i="1"/>
  <c r="AN302" i="1" s="1"/>
  <c r="BC302" i="1" s="1"/>
  <c r="BG302" i="1" s="1"/>
  <c r="AC294" i="1"/>
  <c r="AN294" i="1" s="1"/>
  <c r="BC294" i="1" s="1"/>
  <c r="BG294" i="1" s="1"/>
  <c r="AC286" i="1"/>
  <c r="AN286" i="1" s="1"/>
  <c r="BC286" i="1" s="1"/>
  <c r="BG286" i="1" s="1"/>
  <c r="AC222" i="1"/>
  <c r="AN222" i="1" s="1"/>
  <c r="BC222" i="1" s="1"/>
  <c r="BG222" i="1" s="1"/>
  <c r="AC90" i="1"/>
  <c r="AN90" i="1" s="1"/>
  <c r="BC90" i="1" s="1"/>
  <c r="BG90" i="1" s="1"/>
  <c r="AC693" i="1"/>
  <c r="AN693" i="1" s="1"/>
  <c r="BC693" i="1" s="1"/>
  <c r="BG693" i="1" s="1"/>
  <c r="AC297" i="1"/>
  <c r="AN297" i="1" s="1"/>
  <c r="BC297" i="1" s="1"/>
  <c r="BG297" i="1" s="1"/>
  <c r="AC1051" i="1"/>
  <c r="AN1051" i="1" s="1"/>
  <c r="BC1051" i="1" s="1"/>
  <c r="BG1051" i="1" s="1"/>
  <c r="AC410" i="1"/>
  <c r="AN410" i="1" s="1"/>
  <c r="BC410" i="1" s="1"/>
  <c r="BG410" i="1" s="1"/>
  <c r="AC280" i="1"/>
  <c r="AN280" i="1" s="1"/>
  <c r="BC280" i="1" s="1"/>
  <c r="BG280" i="1" s="1"/>
  <c r="AC561" i="1"/>
  <c r="AN561" i="1" s="1"/>
  <c r="BC561" i="1" s="1"/>
  <c r="BG561" i="1" s="1"/>
  <c r="AC287" i="1"/>
  <c r="AN287" i="1" s="1"/>
  <c r="BC287" i="1" s="1"/>
  <c r="BG287" i="1" s="1"/>
  <c r="AC478" i="1"/>
  <c r="AN478" i="1" s="1"/>
  <c r="BC478" i="1" s="1"/>
  <c r="BG478" i="1" s="1"/>
  <c r="AC285" i="1"/>
  <c r="AN285" i="1" s="1"/>
  <c r="BC285" i="1" s="1"/>
  <c r="BG285" i="1" s="1"/>
  <c r="AC958" i="1"/>
  <c r="AN958" i="1" s="1"/>
  <c r="BC958" i="1" s="1"/>
  <c r="BG958" i="1" s="1"/>
  <c r="AC613" i="1"/>
  <c r="AN613" i="1" s="1"/>
  <c r="BC613" i="1" s="1"/>
  <c r="BG613" i="1" s="1"/>
  <c r="AC473" i="1"/>
  <c r="AN473" i="1" s="1"/>
  <c r="BC473" i="1" s="1"/>
  <c r="BG473" i="1" s="1"/>
  <c r="AC366" i="1"/>
  <c r="AN366" i="1" s="1"/>
  <c r="BC366" i="1" s="1"/>
  <c r="BG366" i="1" s="1"/>
  <c r="AC308" i="1"/>
  <c r="AN308" i="1" s="1"/>
  <c r="BC308" i="1" s="1"/>
  <c r="BG308" i="1" s="1"/>
  <c r="AC300" i="1"/>
  <c r="AN300" i="1" s="1"/>
  <c r="BC300" i="1" s="1"/>
  <c r="BG300" i="1" s="1"/>
  <c r="AC292" i="1"/>
  <c r="AN292" i="1" s="1"/>
  <c r="BC292" i="1" s="1"/>
  <c r="BG292" i="1" s="1"/>
  <c r="AC284" i="1"/>
  <c r="AN284" i="1" s="1"/>
  <c r="BC284" i="1" s="1"/>
  <c r="BG284" i="1" s="1"/>
  <c r="AC180" i="1"/>
  <c r="AN180" i="1" s="1"/>
  <c r="BC180" i="1" s="1"/>
  <c r="BG180" i="1" s="1"/>
  <c r="AC51" i="1"/>
  <c r="AN51" i="1" s="1"/>
  <c r="AC816" i="1"/>
  <c r="AN816" i="1" s="1"/>
  <c r="BC816" i="1" s="1"/>
  <c r="BG816" i="1" s="1"/>
  <c r="AC412" i="1"/>
  <c r="AN412" i="1" s="1"/>
  <c r="BC412" i="1" s="1"/>
  <c r="BG412" i="1" s="1"/>
  <c r="AC289" i="1"/>
  <c r="AN289" i="1" s="1"/>
  <c r="BC289" i="1" s="1"/>
  <c r="BG289" i="1" s="1"/>
  <c r="AC1126" i="1"/>
  <c r="AN1126" i="1" s="1"/>
  <c r="BC1126" i="1" s="1"/>
  <c r="BG1126" i="1" s="1"/>
  <c r="AC683" i="1"/>
  <c r="AN683" i="1" s="1"/>
  <c r="BC683" i="1" s="1"/>
  <c r="BG683" i="1" s="1"/>
  <c r="AC314" i="1"/>
  <c r="AN314" i="1" s="1"/>
  <c r="BC314" i="1" s="1"/>
  <c r="BG314" i="1" s="1"/>
  <c r="AC288" i="1"/>
  <c r="AN288" i="1" s="1"/>
  <c r="BC288" i="1" s="1"/>
  <c r="BG288" i="1" s="1"/>
  <c r="AC1050" i="1"/>
  <c r="AN1050" i="1" s="1"/>
  <c r="BC1050" i="1" s="1"/>
  <c r="BG1050" i="1" s="1"/>
  <c r="AC378" i="1"/>
  <c r="AN378" i="1" s="1"/>
  <c r="BC378" i="1" s="1"/>
  <c r="BG378" i="1" s="1"/>
  <c r="AC295" i="1"/>
  <c r="AN295" i="1" s="1"/>
  <c r="BC295" i="1" s="1"/>
  <c r="BG295" i="1" s="1"/>
  <c r="AC963" i="1"/>
  <c r="AN963" i="1" s="1"/>
  <c r="BC963" i="1" s="1"/>
  <c r="BG963" i="1" s="1"/>
  <c r="AC620" i="1"/>
  <c r="AN620" i="1" s="1"/>
  <c r="BC620" i="1" s="1"/>
  <c r="BG620" i="1" s="1"/>
  <c r="AC309" i="1"/>
  <c r="AN309" i="1" s="1"/>
  <c r="BC309" i="1" s="1"/>
  <c r="BG309" i="1" s="1"/>
  <c r="AC293" i="1"/>
  <c r="AN293" i="1" s="1"/>
  <c r="BC293" i="1" s="1"/>
  <c r="BG293" i="1" s="1"/>
  <c r="AC198" i="1"/>
  <c r="AN198" i="1" s="1"/>
  <c r="BC198" i="1" s="1"/>
  <c r="BG198" i="1" s="1"/>
  <c r="AC1071" i="1"/>
  <c r="AN1071" i="1" s="1"/>
  <c r="BC1071" i="1" s="1"/>
  <c r="BG1071" i="1" s="1"/>
  <c r="AC717" i="1"/>
  <c r="AN717" i="1" s="1"/>
  <c r="BC717" i="1" s="1"/>
  <c r="BG717" i="1" s="1"/>
  <c r="AC1068" i="1"/>
  <c r="AN1068" i="1" s="1"/>
  <c r="BC1068" i="1" s="1"/>
  <c r="BG1068" i="1" s="1"/>
  <c r="AC953" i="1"/>
  <c r="AN953" i="1" s="1"/>
  <c r="BC953" i="1" s="1"/>
  <c r="BG953" i="1" s="1"/>
  <c r="AC707" i="1"/>
  <c r="AN707" i="1" s="1"/>
  <c r="BC707" i="1" s="1"/>
  <c r="BG707" i="1" s="1"/>
  <c r="AC587" i="1"/>
  <c r="AN587" i="1" s="1"/>
  <c r="BC587" i="1" s="1"/>
  <c r="BG587" i="1" s="1"/>
  <c r="AC470" i="1"/>
  <c r="AN470" i="1" s="1"/>
  <c r="BC470" i="1" s="1"/>
  <c r="BG470" i="1" s="1"/>
  <c r="AC319" i="1"/>
  <c r="AN319" i="1" s="1"/>
  <c r="BC319" i="1" s="1"/>
  <c r="BG319" i="1" s="1"/>
  <c r="AC307" i="1"/>
  <c r="AN307" i="1" s="1"/>
  <c r="BC307" i="1" s="1"/>
  <c r="BG307" i="1" s="1"/>
  <c r="AC299" i="1"/>
  <c r="AN299" i="1" s="1"/>
  <c r="BC299" i="1" s="1"/>
  <c r="BG299" i="1" s="1"/>
  <c r="AC291" i="1"/>
  <c r="AN291" i="1" s="1"/>
  <c r="BC291" i="1" s="1"/>
  <c r="BG291" i="1" s="1"/>
  <c r="AC283" i="1"/>
  <c r="AN283" i="1" s="1"/>
  <c r="BC283" i="1" s="1"/>
  <c r="BG283" i="1" s="1"/>
  <c r="AC153" i="1"/>
  <c r="AN153" i="1" s="1"/>
  <c r="BC153" i="1" s="1"/>
  <c r="BG153" i="1" s="1"/>
  <c r="AC1134" i="1"/>
  <c r="AN1134" i="1" s="1"/>
  <c r="BC1134" i="1" s="1"/>
  <c r="BG1134" i="1" s="1"/>
  <c r="AC567" i="1"/>
  <c r="AN567" i="1" s="1"/>
  <c r="BC567" i="1" s="1"/>
  <c r="BG567" i="1" s="1"/>
  <c r="AC305" i="1"/>
  <c r="AN305" i="1" s="1"/>
  <c r="BC305" i="1" s="1"/>
  <c r="BG305" i="1" s="1"/>
  <c r="AC123" i="1"/>
  <c r="AN123" i="1" s="1"/>
  <c r="BC123" i="1" s="1"/>
  <c r="BG123" i="1" s="1"/>
  <c r="AC797" i="1"/>
  <c r="AN797" i="1" s="1"/>
  <c r="BC797" i="1" s="1"/>
  <c r="BG797" i="1" s="1"/>
  <c r="AC304" i="1"/>
  <c r="AN304" i="1" s="1"/>
  <c r="BC304" i="1" s="1"/>
  <c r="BG304" i="1" s="1"/>
  <c r="AC121" i="1"/>
  <c r="AN121" i="1" s="1"/>
  <c r="BC121" i="1" s="1"/>
  <c r="BG121" i="1" s="1"/>
  <c r="AC1124" i="1"/>
  <c r="AN1124" i="1" s="1"/>
  <c r="BC1124" i="1" s="1"/>
  <c r="BG1124" i="1" s="1"/>
  <c r="AC624" i="1"/>
  <c r="AN624" i="1" s="1"/>
  <c r="BC624" i="1" s="1"/>
  <c r="BG624" i="1" s="1"/>
  <c r="AC303" i="1"/>
  <c r="AN303" i="1" s="1"/>
  <c r="BC303" i="1" s="1"/>
  <c r="BG303" i="1" s="1"/>
  <c r="AC1081" i="1"/>
  <c r="AN1081" i="1" s="1"/>
  <c r="BC1081" i="1" s="1"/>
  <c r="BG1081" i="1" s="1"/>
  <c r="AC725" i="1"/>
  <c r="AN725" i="1" s="1"/>
  <c r="BC725" i="1" s="1"/>
  <c r="BG725" i="1" s="1"/>
  <c r="AC368" i="1"/>
  <c r="AN368" i="1" s="1"/>
  <c r="BC368" i="1" s="1"/>
  <c r="BG368" i="1" s="1"/>
  <c r="AC301" i="1"/>
  <c r="AN301" i="1" s="1"/>
  <c r="BC301" i="1" s="1"/>
  <c r="BG301" i="1" s="1"/>
  <c r="AC71" i="1"/>
  <c r="AN71" i="1" s="1"/>
  <c r="BC71" i="1" s="1"/>
  <c r="BG71" i="1" s="1"/>
  <c r="AC1057" i="1"/>
  <c r="AN1057" i="1" s="1"/>
  <c r="BC1057" i="1" s="1"/>
  <c r="BG1057" i="1" s="1"/>
  <c r="AC820" i="1"/>
  <c r="AN820" i="1" s="1"/>
  <c r="BC820" i="1" s="1"/>
  <c r="BG820" i="1" s="1"/>
  <c r="AC704" i="1"/>
  <c r="AN704" i="1" s="1"/>
  <c r="BC704" i="1" s="1"/>
  <c r="BG704" i="1" s="1"/>
  <c r="AC573" i="1"/>
  <c r="AN573" i="1" s="1"/>
  <c r="BC573" i="1" s="1"/>
  <c r="BG573" i="1" s="1"/>
  <c r="AC464" i="1"/>
  <c r="AN464" i="1" s="1"/>
  <c r="BC464" i="1" s="1"/>
  <c r="BG464" i="1" s="1"/>
  <c r="AC318" i="1"/>
  <c r="AN318" i="1" s="1"/>
  <c r="BC318" i="1" s="1"/>
  <c r="BG318" i="1" s="1"/>
  <c r="AC306" i="1"/>
  <c r="AN306" i="1" s="1"/>
  <c r="BC306" i="1" s="1"/>
  <c r="BG306" i="1" s="1"/>
  <c r="AC298" i="1"/>
  <c r="AN298" i="1" s="1"/>
  <c r="BC298" i="1" s="1"/>
  <c r="BG298" i="1" s="1"/>
  <c r="AC290" i="1"/>
  <c r="AN290" i="1" s="1"/>
  <c r="BC290" i="1" s="1"/>
  <c r="BG290" i="1" s="1"/>
  <c r="AC282" i="1"/>
  <c r="AN282" i="1" s="1"/>
  <c r="BC282" i="1" s="1"/>
  <c r="BG282" i="1" s="1"/>
  <c r="AC130" i="1"/>
  <c r="AN130" i="1" s="1"/>
  <c r="BC130" i="1" s="1"/>
  <c r="BG130" i="1" s="1"/>
  <c r="U1136" i="1"/>
  <c r="M1136" i="1"/>
  <c r="F1136" i="1"/>
  <c r="BC51" i="1" l="1"/>
  <c r="AC1136" i="1"/>
  <c r="AN1136" i="1"/>
  <c r="CA1135" i="1"/>
  <c r="BG51" i="1" l="1"/>
  <c r="BC1136" i="1"/>
  <c r="BG1136" i="1" l="1"/>
  <c r="BC11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Doris Patricia Herrera Reyes</author>
    <author>Liliana Santos Cubides</author>
  </authors>
  <commentList>
    <comment ref="N289" authorId="0" shapeId="0" xr:uid="{F4163CD9-2E25-4DD5-A9A7-A4B243085034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Anticipo Febrero  627,994,000.00 
</t>
        </r>
      </text>
    </comment>
    <comment ref="N310" authorId="0" shapeId="0" xr:uid="{81414A07-50BB-4C60-B360-0EEEEFC3A985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Anticipo Febrero  3,078,000,000.00 
</t>
        </r>
      </text>
    </comment>
    <comment ref="O331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 la reserva
</t>
        </r>
      </text>
    </comment>
    <comment ref="B73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Aquí no debe quedar saldo</t>
        </r>
      </text>
    </comment>
  </commentList>
</comments>
</file>

<file path=xl/sharedStrings.xml><?xml version="1.0" encoding="utf-8"?>
<sst xmlns="http://schemas.openxmlformats.org/spreadsheetml/2006/main" count="2339" uniqueCount="2276">
  <si>
    <t>Nit</t>
  </si>
  <si>
    <t>Codigo Contaduría</t>
  </si>
  <si>
    <t>Tercero</t>
  </si>
  <si>
    <t>CORREO ELECTRONICO</t>
  </si>
  <si>
    <t>Total 540818                (valor recíproco)</t>
  </si>
  <si>
    <t>Total 540818 (valor recíproco)</t>
  </si>
  <si>
    <t>Prestación de Servicios</t>
  </si>
  <si>
    <t>Calidad</t>
  </si>
  <si>
    <t>Pensión</t>
  </si>
  <si>
    <t>Aportes Docentes</t>
  </si>
  <si>
    <t>Aportes Patronales</t>
  </si>
  <si>
    <t>DEPARTAMENTO DEL CAQUETA</t>
  </si>
  <si>
    <t>DEPARTAMENTO DE VICHADA</t>
  </si>
  <si>
    <t>DEPARTAMENTO DEL PUTUMAYO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</si>
  <si>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</si>
  <si>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</si>
  <si>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</si>
  <si>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</si>
  <si>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</si>
  <si>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</si>
  <si>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</si>
  <si>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DEPARTAMENTO DEL TOLIMA</t>
  </si>
  <si>
    <t>DEPARTAMENTO DE VAUPES</t>
  </si>
  <si>
    <t>DEPARTAMENTO DEL QUINDIO</t>
  </si>
  <si>
    <t>DEPARTAMENTO DEL ATLANTICO</t>
  </si>
  <si>
    <t>DISTRITO TURISTICO Y CULTURAL DE BARRANQUILLA</t>
  </si>
  <si>
    <t>DEPARTAMENTO DE SANTANDER</t>
  </si>
  <si>
    <t>DEPARTAMENTO DEL VALLE</t>
  </si>
  <si>
    <t>DEPARTAMENTO DE BOLIVAR</t>
  </si>
  <si>
    <t>DEPARTAMENTO DE CALDAS</t>
  </si>
  <si>
    <t>DEPARTAMENTO DE ANTIOQUIA</t>
  </si>
  <si>
    <t>DEPARTAMENTO DE RISARALDA</t>
  </si>
  <si>
    <t>DEPARTAMENTO DEL CAUCA</t>
  </si>
  <si>
    <t>DEPARTAMENTO DEL CHOCO</t>
  </si>
  <si>
    <t>DEPARTAMENTO DE BOYACA</t>
  </si>
  <si>
    <t>DEPARTAMENTO DEL META</t>
  </si>
  <si>
    <t>DEPARTAMENTO DE GUAINIA</t>
  </si>
  <si>
    <t>DEPARTAMENTO DE CASANARE</t>
  </si>
  <si>
    <t>DEPARTAMENTO DE LA GUAJIRA</t>
  </si>
  <si>
    <t>DEPARTAMENTO DE SUCRE</t>
  </si>
  <si>
    <t>DEPARTAMENTO DEL CESAR</t>
  </si>
  <si>
    <t>DEPARTAMENTO DE SAN ANDRES Y PROVIDENCIA</t>
  </si>
  <si>
    <t>DEPARTAMENTO DE CUNDINAMARCA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</si>
  <si>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</si>
  <si>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</si>
  <si>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</si>
  <si>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</si>
  <si>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</si>
  <si>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</si>
  <si>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</si>
  <si>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</si>
  <si>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</si>
  <si>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</si>
  <si>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</si>
  <si>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</si>
  <si>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</si>
  <si>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</si>
  <si>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</si>
  <si>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</si>
  <si>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</si>
  <si>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</si>
  <si>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</si>
  <si>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</si>
  <si>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</si>
  <si>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</si>
  <si>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</si>
  <si>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</si>
  <si>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</si>
  <si>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</si>
  <si>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</si>
  <si>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</si>
  <si>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</si>
  <si>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</si>
  <si>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</si>
  <si>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</si>
  <si>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</si>
  <si>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</si>
  <si>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</si>
  <si>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</si>
  <si>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</si>
  <si>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</si>
  <si>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</si>
  <si>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</si>
  <si>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</si>
  <si>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</si>
  <si>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</si>
  <si>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</si>
  <si>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</si>
  <si>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</si>
  <si>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</si>
  <si>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</si>
  <si>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</si>
  <si>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</si>
  <si>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</si>
  <si>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</si>
  <si>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</si>
  <si>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</si>
  <si>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</si>
  <si>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</si>
  <si>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</si>
  <si>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</si>
  <si>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</si>
  <si>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</si>
  <si>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</si>
  <si>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</si>
  <si>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</si>
  <si>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</si>
  <si>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</si>
  <si>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</si>
  <si>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</si>
  <si>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</si>
  <si>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</si>
  <si>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</si>
  <si>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</si>
  <si>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</si>
  <si>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</si>
  <si>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</si>
  <si>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</si>
  <si>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</si>
  <si>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</si>
  <si>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</si>
  <si>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</si>
  <si>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</si>
  <si>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</si>
  <si>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</si>
  <si>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</si>
  <si>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</si>
  <si>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</si>
  <si>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</si>
  <si>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</si>
  <si>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</si>
  <si>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</si>
  <si>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</si>
  <si>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</si>
  <si>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</si>
  <si>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</si>
  <si>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</si>
  <si>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</si>
  <si>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</si>
  <si>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</si>
  <si>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</si>
  <si>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</si>
  <si>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</si>
  <si>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</si>
  <si>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</si>
  <si>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</si>
  <si>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</si>
  <si>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</si>
  <si>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</si>
  <si>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</si>
  <si>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</si>
  <si>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</si>
  <si>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</si>
  <si>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</si>
  <si>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</si>
  <si>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</si>
  <si>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</si>
  <si>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</si>
  <si>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</si>
  <si>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</si>
  <si>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</si>
  <si>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</si>
  <si>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</si>
  <si>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</si>
  <si>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</si>
  <si>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</si>
  <si>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</si>
  <si>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</si>
  <si>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</si>
  <si>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</si>
  <si>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</si>
  <si>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</si>
  <si>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</si>
  <si>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</si>
  <si>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</si>
  <si>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</si>
  <si>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</si>
  <si>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</si>
  <si>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</si>
  <si>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</si>
  <si>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</si>
  <si>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</si>
  <si>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</si>
  <si>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</si>
  <si>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</si>
  <si>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</si>
  <si>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</si>
  <si>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</si>
  <si>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</si>
  <si>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</si>
  <si>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</si>
  <si>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</si>
  <si>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</si>
  <si>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</si>
  <si>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</si>
  <si>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</si>
  <si>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</si>
  <si>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</si>
  <si>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</si>
  <si>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</si>
  <si>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</si>
  <si>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</si>
  <si>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</si>
  <si>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</si>
  <si>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</si>
  <si>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</si>
  <si>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SAN PABLO-BOLIVAR</t>
  </si>
  <si>
    <t>SANTA CATALINA-BOLIVAR</t>
  </si>
  <si>
    <t>SANTA ROSA-BOLIVAR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</si>
  <si>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</si>
  <si>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</si>
  <si>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</si>
  <si>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</si>
  <si>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</si>
  <si>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</si>
  <si>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</si>
  <si>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</si>
  <si>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</si>
  <si>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</si>
  <si>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</si>
  <si>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</si>
  <si>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</si>
  <si>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</si>
  <si>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</si>
  <si>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</si>
  <si>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</si>
  <si>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</si>
  <si>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</si>
  <si>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</si>
  <si>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</si>
  <si>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</si>
  <si>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</si>
  <si>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</si>
  <si>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</si>
  <si>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</si>
  <si>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</si>
  <si>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</si>
  <si>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</si>
  <si>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</si>
  <si>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</si>
  <si>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</si>
  <si>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</si>
  <si>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</si>
  <si>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</si>
  <si>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</si>
  <si>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</si>
  <si>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</si>
  <si>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</si>
  <si>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</si>
  <si>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</si>
  <si>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</si>
  <si>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</si>
  <si>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</si>
  <si>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</si>
  <si>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</si>
  <si>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</si>
  <si>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</si>
  <si>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</si>
  <si>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</si>
  <si>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</si>
  <si>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</si>
  <si>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</si>
  <si>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</si>
  <si>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</si>
  <si>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</si>
  <si>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</si>
  <si>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</si>
  <si>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</si>
  <si>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</si>
  <si>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</si>
  <si>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</si>
  <si>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</si>
  <si>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</si>
  <si>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</si>
  <si>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</si>
  <si>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</si>
  <si>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</si>
  <si>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</si>
  <si>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</si>
  <si>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</si>
  <si>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</si>
  <si>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</si>
  <si>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</si>
  <si>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</si>
  <si>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</si>
  <si>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</si>
  <si>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</si>
  <si>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</si>
  <si>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</si>
  <si>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</si>
  <si>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</si>
  <si>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</si>
  <si>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</si>
  <si>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</si>
  <si>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</si>
  <si>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</si>
  <si>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</si>
  <si>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</si>
  <si>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</si>
  <si>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</si>
  <si>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</si>
  <si>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</si>
  <si>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</si>
  <si>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</si>
  <si>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</si>
  <si>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</si>
  <si>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</si>
  <si>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</si>
  <si>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</si>
  <si>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</si>
  <si>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</si>
  <si>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</si>
  <si>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</si>
  <si>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</si>
  <si>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</si>
  <si>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</si>
  <si>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</si>
  <si>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</si>
  <si>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</si>
  <si>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</si>
  <si>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</si>
  <si>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</si>
  <si>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</si>
  <si>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</si>
  <si>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</si>
  <si>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</si>
  <si>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</si>
  <si>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</si>
  <si>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</si>
  <si>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</si>
  <si>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</si>
  <si>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</si>
  <si>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</si>
  <si>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</si>
  <si>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</si>
  <si>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</si>
  <si>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</si>
  <si>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</si>
  <si>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</si>
  <si>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</si>
  <si>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</si>
  <si>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</si>
  <si>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</si>
  <si>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</si>
  <si>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</si>
  <si>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</si>
  <si>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</si>
  <si>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</si>
  <si>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</si>
  <si>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</si>
  <si>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</si>
  <si>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</si>
  <si>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</si>
  <si>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</si>
  <si>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</si>
  <si>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</si>
  <si>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</si>
  <si>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</si>
  <si>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</si>
  <si>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</si>
  <si>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</si>
  <si>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</si>
  <si>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</si>
  <si>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CARTAGENA DEL CHAIRA-CAQUETA</t>
  </si>
  <si>
    <t>CURILLO-CAQUETA</t>
  </si>
  <si>
    <t>EL DONCELLO-CAQUETA</t>
  </si>
  <si>
    <t>EL PAUJIL-CAQUETA</t>
  </si>
  <si>
    <t>MILAN-CAQUETA</t>
  </si>
  <si>
    <t>MORELIA-CAQUETA</t>
  </si>
  <si>
    <t>PUERTO RICO-CAQUETA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</si>
  <si>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</si>
  <si>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</si>
  <si>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</si>
  <si>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</si>
  <si>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</si>
  <si>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</si>
  <si>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</si>
  <si>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</si>
  <si>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</si>
  <si>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</si>
  <si>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</si>
  <si>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</si>
  <si>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</si>
  <si>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</si>
  <si>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</si>
  <si>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</si>
  <si>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</si>
  <si>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</si>
  <si>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</si>
  <si>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</si>
  <si>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</si>
  <si>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</si>
  <si>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</si>
  <si>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</si>
  <si>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</si>
  <si>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</si>
  <si>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</si>
  <si>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</si>
  <si>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</si>
  <si>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</si>
  <si>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</si>
  <si>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</si>
  <si>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</si>
  <si>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</si>
  <si>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</si>
  <si>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</si>
  <si>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</si>
  <si>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</si>
  <si>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</si>
  <si>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</si>
  <si>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</si>
  <si>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</si>
  <si>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</si>
  <si>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</si>
  <si>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</si>
  <si>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</si>
  <si>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</si>
  <si>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</si>
  <si>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</si>
  <si>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</si>
  <si>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</si>
  <si>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</si>
  <si>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</si>
  <si>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</si>
  <si>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</si>
  <si>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</si>
  <si>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</si>
  <si>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</si>
  <si>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</si>
  <si>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</si>
  <si>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</si>
  <si>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</si>
  <si>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</si>
  <si>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</si>
  <si>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</si>
  <si>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</si>
  <si>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</si>
  <si>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</si>
  <si>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</si>
  <si>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</si>
  <si>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</si>
  <si>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</si>
  <si>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</si>
  <si>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</si>
  <si>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</si>
  <si>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</si>
  <si>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</si>
  <si>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</si>
  <si>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</si>
  <si>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</si>
  <si>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</si>
  <si>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</si>
  <si>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</si>
  <si>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</si>
  <si>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</si>
  <si>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ANTERO-CORDOBA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</si>
  <si>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</si>
  <si>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</si>
  <si>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</si>
  <si>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</si>
  <si>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</si>
  <si>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</si>
  <si>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</si>
  <si>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</si>
  <si>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</si>
  <si>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</si>
  <si>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</si>
  <si>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</si>
  <si>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</si>
  <si>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</si>
  <si>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</si>
  <si>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</si>
  <si>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</si>
  <si>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</si>
  <si>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</si>
  <si>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</si>
  <si>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</si>
  <si>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</si>
  <si>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</si>
  <si>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</si>
  <si>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</si>
  <si>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</si>
  <si>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</si>
  <si>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</si>
  <si>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</si>
  <si>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</si>
  <si>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</si>
  <si>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</si>
  <si>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</si>
  <si>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</si>
  <si>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</si>
  <si>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</si>
  <si>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</si>
  <si>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</si>
  <si>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</si>
  <si>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</si>
  <si>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</si>
  <si>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</si>
  <si>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</si>
  <si>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</si>
  <si>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</si>
  <si>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</si>
  <si>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</si>
  <si>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</si>
  <si>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</si>
  <si>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</si>
  <si>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</si>
  <si>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</si>
  <si>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</si>
  <si>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</si>
  <si>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</si>
  <si>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</si>
  <si>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</si>
  <si>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</si>
  <si>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</si>
  <si>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NEMOCON-CUNDINAMARCA</t>
  </si>
  <si>
    <t>NILO-CUNDINAMARCA</t>
  </si>
  <si>
    <t>NIMAIMA-CUNDINAMARCA</t>
  </si>
  <si>
    <t>NOCAIMA-CUNDINAMARCA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</si>
  <si>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</si>
  <si>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</si>
  <si>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</si>
  <si>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</si>
  <si>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</si>
  <si>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</si>
  <si>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</si>
  <si>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</si>
  <si>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</si>
  <si>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</si>
  <si>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</si>
  <si>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</si>
  <si>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BERNARDO-CUNDINAMARCA</t>
  </si>
  <si>
    <t>SAN CAYETANO-CUNDINAMARCA</t>
  </si>
  <si>
    <t>SAN FRANCISCO-CUNDINAMARCA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</si>
  <si>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</si>
  <si>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</si>
  <si>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</si>
  <si>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</si>
  <si>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</si>
  <si>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</si>
  <si>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</si>
  <si>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</si>
  <si>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</si>
  <si>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</si>
  <si>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</si>
  <si>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</si>
  <si>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</si>
  <si>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</si>
  <si>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</si>
  <si>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</si>
  <si>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</si>
  <si>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</si>
  <si>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</si>
  <si>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</si>
  <si>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</si>
  <si>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</si>
  <si>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</si>
  <si>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</si>
  <si>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</si>
  <si>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</si>
  <si>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</si>
  <si>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</si>
  <si>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</si>
  <si>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</si>
  <si>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</si>
  <si>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</si>
  <si>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</si>
  <si>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</si>
  <si>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</si>
  <si>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</si>
  <si>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</si>
  <si>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</si>
  <si>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</si>
  <si>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</si>
  <si>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</si>
  <si>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</si>
  <si>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</si>
  <si>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</si>
  <si>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</si>
  <si>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</si>
  <si>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</si>
  <si>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</si>
  <si>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</si>
  <si>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</si>
  <si>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</si>
  <si>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</si>
  <si>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</si>
  <si>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</si>
  <si>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</si>
  <si>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</si>
  <si>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</si>
  <si>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</si>
  <si>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</si>
  <si>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</si>
  <si>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</si>
  <si>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</si>
  <si>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</si>
  <si>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</si>
  <si>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</si>
  <si>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</si>
  <si>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</si>
  <si>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</si>
  <si>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</si>
  <si>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</si>
  <si>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</si>
  <si>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</si>
  <si>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</si>
  <si>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</si>
  <si>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</si>
  <si>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</si>
  <si>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</si>
  <si>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</si>
  <si>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</si>
  <si>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</si>
  <si>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</si>
  <si>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</si>
  <si>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</si>
  <si>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</si>
  <si>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</si>
  <si>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</si>
  <si>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</si>
  <si>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</si>
  <si>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</si>
  <si>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</si>
  <si>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</si>
  <si>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</si>
  <si>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</si>
  <si>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</si>
  <si>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</si>
  <si>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</si>
  <si>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</si>
  <si>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</si>
  <si>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</si>
  <si>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</si>
  <si>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</si>
  <si>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</si>
  <si>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</si>
  <si>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MANAURE-GUAJIRA</t>
  </si>
  <si>
    <t>URUMITA-GUAJIRA</t>
  </si>
  <si>
    <t>VILLANUEVA-GUAJIRA</t>
  </si>
  <si>
    <t>ALGARROBO-MAGDALENA</t>
  </si>
  <si>
    <t>ARACATACA-MAGDALENA</t>
  </si>
  <si>
    <t>ARIGUANI-MAGDALENA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</si>
  <si>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</si>
  <si>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</si>
  <si>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</si>
  <si>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</si>
  <si>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</si>
  <si>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</si>
  <si>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</si>
  <si>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</si>
  <si>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</si>
  <si>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</si>
  <si>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</si>
  <si>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</si>
  <si>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</si>
  <si>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</si>
  <si>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</si>
  <si>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</si>
  <si>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</si>
  <si>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</si>
  <si>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</si>
  <si>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</si>
  <si>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</si>
  <si>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</si>
  <si>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</si>
  <si>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</si>
  <si>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</si>
  <si>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</si>
  <si>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</si>
  <si>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</si>
  <si>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</si>
  <si>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</si>
  <si>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</si>
  <si>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</si>
  <si>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</si>
  <si>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</si>
  <si>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</si>
  <si>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</si>
  <si>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</si>
  <si>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</si>
  <si>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</si>
  <si>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</si>
  <si>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</si>
  <si>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</si>
  <si>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</si>
  <si>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</si>
  <si>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</si>
  <si>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</si>
  <si>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</si>
  <si>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</si>
  <si>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</si>
  <si>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</si>
  <si>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</si>
  <si>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</si>
  <si>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</si>
  <si>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</si>
  <si>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</si>
  <si>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</si>
  <si>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</si>
  <si>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</si>
  <si>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</si>
  <si>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</si>
  <si>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</si>
  <si>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</si>
  <si>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</si>
  <si>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</si>
  <si>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</si>
  <si>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</si>
  <si>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</si>
  <si>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</si>
  <si>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</si>
  <si>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</si>
  <si>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</si>
  <si>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</si>
  <si>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</si>
  <si>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</si>
  <si>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</si>
  <si>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</si>
  <si>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</si>
  <si>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</si>
  <si>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</si>
  <si>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</si>
  <si>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</si>
  <si>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</si>
  <si>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</si>
  <si>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</si>
  <si>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</si>
  <si>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</si>
  <si>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</si>
  <si>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</si>
  <si>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</si>
  <si>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</si>
  <si>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</si>
  <si>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</si>
  <si>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</si>
  <si>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</si>
  <si>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</si>
  <si>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</si>
  <si>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</si>
  <si>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</si>
  <si>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</si>
  <si>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</si>
  <si>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</si>
  <si>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</si>
  <si>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</si>
  <si>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</si>
  <si>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</si>
  <si>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</si>
  <si>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</si>
  <si>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</si>
  <si>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</si>
  <si>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</si>
  <si>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</si>
  <si>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</si>
  <si>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</si>
  <si>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</si>
  <si>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</si>
  <si>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</si>
  <si>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</si>
  <si>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</si>
  <si>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</si>
  <si>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</si>
  <si>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</si>
  <si>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</si>
  <si>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</si>
  <si>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</si>
  <si>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</si>
  <si>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</si>
  <si>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</si>
  <si>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</si>
  <si>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</si>
  <si>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</si>
  <si>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</si>
  <si>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</si>
  <si>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</si>
  <si>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</si>
  <si>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</si>
  <si>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</si>
  <si>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</si>
  <si>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</si>
  <si>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</si>
  <si>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</si>
  <si>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</si>
  <si>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</si>
  <si>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TEORAMA-NORTE DE SANTANDER</t>
  </si>
  <si>
    <t>TIBU-NORTE DE SANTANDER</t>
  </si>
  <si>
    <t>TOLEDO-NORTE DE SANTANDER</t>
  </si>
  <si>
    <t>VILLA CARO-NORTE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</si>
  <si>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</si>
  <si>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</si>
  <si>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</si>
  <si>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</si>
  <si>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</si>
  <si>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</si>
  <si>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</si>
  <si>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</si>
  <si>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</si>
  <si>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</si>
  <si>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</si>
  <si>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</si>
  <si>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</si>
  <si>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</si>
  <si>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</si>
  <si>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</si>
  <si>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</si>
  <si>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</si>
  <si>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</si>
  <si>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</si>
  <si>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</si>
  <si>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</si>
  <si>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</si>
  <si>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</si>
  <si>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</si>
  <si>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</si>
  <si>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</si>
  <si>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</si>
  <si>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</si>
  <si>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</si>
  <si>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</si>
  <si>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</si>
  <si>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</si>
  <si>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</si>
  <si>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</si>
  <si>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</si>
  <si>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</si>
  <si>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</si>
  <si>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</si>
  <si>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</si>
  <si>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</si>
  <si>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</si>
  <si>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</si>
  <si>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</si>
  <si>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</si>
  <si>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</si>
  <si>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GUACAMAYO-SANTANDER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</si>
  <si>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</si>
  <si>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</si>
  <si>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</si>
  <si>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</si>
  <si>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</si>
  <si>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</si>
  <si>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</si>
  <si>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</si>
  <si>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</si>
  <si>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</si>
  <si>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</si>
  <si>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</si>
  <si>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</si>
  <si>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</si>
  <si>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</si>
  <si>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</si>
  <si>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</si>
  <si>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</si>
  <si>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</si>
  <si>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</si>
  <si>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</si>
  <si>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</si>
  <si>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</si>
  <si>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</si>
  <si>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</si>
  <si>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</si>
  <si>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</si>
  <si>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</si>
  <si>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</si>
  <si>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</si>
  <si>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</si>
  <si>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</si>
  <si>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</si>
  <si>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</si>
  <si>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</si>
  <si>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</si>
  <si>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</si>
  <si>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</si>
  <si>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</si>
  <si>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</si>
  <si>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</si>
  <si>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MIGUEL-SANTANDER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</si>
  <si>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</si>
  <si>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</si>
  <si>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</si>
  <si>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</si>
  <si>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</si>
  <si>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</si>
  <si>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</si>
  <si>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</si>
  <si>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</si>
  <si>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</si>
  <si>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</si>
  <si>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</si>
  <si>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</si>
  <si>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</si>
  <si>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</si>
  <si>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</si>
  <si>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</si>
  <si>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</si>
  <si>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</si>
  <si>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</si>
  <si>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</si>
  <si>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</si>
  <si>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</si>
  <si>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</si>
  <si>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</si>
  <si>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</si>
  <si>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</si>
  <si>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</si>
  <si>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</si>
  <si>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MARCOS-SUCRE</t>
  </si>
  <si>
    <t>SAN ONOFRE-SUCRE</t>
  </si>
  <si>
    <t>SUCRE-SUCRE</t>
  </si>
  <si>
    <t>TOLU-SUCRE</t>
  </si>
  <si>
    <t>TOLUVIEJO-SUCRE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</si>
  <si>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</si>
  <si>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</si>
  <si>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</si>
  <si>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</si>
  <si>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</si>
  <si>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</si>
  <si>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</si>
  <si>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</si>
  <si>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</si>
  <si>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</si>
  <si>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</si>
  <si>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</si>
  <si>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</si>
  <si>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</si>
  <si>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</si>
  <si>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</si>
  <si>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</si>
  <si>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</si>
  <si>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</si>
  <si>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</si>
  <si>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</si>
  <si>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</si>
  <si>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</si>
  <si>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</si>
  <si>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</si>
  <si>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</si>
  <si>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</si>
  <si>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</si>
  <si>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</si>
  <si>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</si>
  <si>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</si>
  <si>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</si>
  <si>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</si>
  <si>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</si>
  <si>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</si>
  <si>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</si>
  <si>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</si>
  <si>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</si>
  <si>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</si>
  <si>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</si>
  <si>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</si>
  <si>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</si>
  <si>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</si>
  <si>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</si>
  <si>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</si>
  <si>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</si>
  <si>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</si>
  <si>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</si>
  <si>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</si>
  <si>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</si>
  <si>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</si>
  <si>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</si>
  <si>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</si>
  <si>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</si>
  <si>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</si>
  <si>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</si>
  <si>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</si>
  <si>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</si>
  <si>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</si>
  <si>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</si>
  <si>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</si>
  <si>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</si>
  <si>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</si>
  <si>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</si>
  <si>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</si>
  <si>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</si>
  <si>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</si>
  <si>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</si>
  <si>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</si>
  <si>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</si>
  <si>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</si>
  <si>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</si>
  <si>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</si>
  <si>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</si>
  <si>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</si>
  <si>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</si>
  <si>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</si>
  <si>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</si>
  <si>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</si>
  <si>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</si>
  <si>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</si>
  <si>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</si>
  <si>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</si>
  <si>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</si>
  <si>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</si>
  <si>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</si>
  <si>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</si>
  <si>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</si>
  <si>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</si>
  <si>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TUCHIN-CORDOBA</t>
  </si>
  <si>
    <t>Total general</t>
  </si>
  <si>
    <t>Nit Sin DV</t>
  </si>
  <si>
    <t>SAN JACINTO DEL CAUCA</t>
  </si>
  <si>
    <t>EL PEÑON-BOLIVAR</t>
  </si>
  <si>
    <t>EL PEÑON-CUNDINAMARCA</t>
  </si>
  <si>
    <t>EL PEÑOL-NARIÑO</t>
  </si>
  <si>
    <t>EL PEÑON-SANTANDER</t>
  </si>
  <si>
    <t>alcaldia@sanjacinto-bolivar.gov.co</t>
  </si>
  <si>
    <t>secretariadehacienda@magangue-bolivar.gov.co</t>
  </si>
  <si>
    <t>contabilidad@caqueta.gov.co</t>
  </si>
  <si>
    <t>presupuesto@gobvichada.gov.co</t>
  </si>
  <si>
    <t>contabilidad@putumayo.gov.co</t>
  </si>
  <si>
    <t>contabilidadsoacha@hotmail.com</t>
  </si>
  <si>
    <t>alcaldesa@florencia-caqueta.gov.co</t>
  </si>
  <si>
    <t>alcaldiamonteria@yahoo.es</t>
  </si>
  <si>
    <t>contactenos@santacruzdelorica-cordoba.gov.co</t>
  </si>
  <si>
    <t>alcaldia@sahagun-cordoba.gov.co</t>
  </si>
  <si>
    <t>contabilidad@valledupar-cesar.gov.co</t>
  </si>
  <si>
    <t>contadora@dosquebradas.gov.co</t>
  </si>
  <si>
    <t>secretariahacienda@arauca.gov.co</t>
  </si>
  <si>
    <t>contabilidad@guaviare.gov.co</t>
  </si>
  <si>
    <t>hector.galindo@huila.gov.co</t>
  </si>
  <si>
    <t>administrador@gobmagdalena.gov.co</t>
  </si>
  <si>
    <t>eduardomarcillo@narino.gov.co</t>
  </si>
  <si>
    <t>sechacienda@nortedesantander.gov.co</t>
  </si>
  <si>
    <t>contactenos@cordoba.gov.co</t>
  </si>
  <si>
    <t>profesionalesuniversitarios@sincelejo.gov.co</t>
  </si>
  <si>
    <t>sec.hacienda@alcaldiadeibague.gov.co</t>
  </si>
  <si>
    <t>luz.yara@tolima.gov.co</t>
  </si>
  <si>
    <t>fred0728@yahoo.com</t>
  </si>
  <si>
    <t>alcaldia@armenia.mult.net.co</t>
  </si>
  <si>
    <t>contabilidad@quindio.gov.co</t>
  </si>
  <si>
    <t>gobernador@atlantico.gov.co</t>
  </si>
  <si>
    <t>minervasalas@hotmail.com</t>
  </si>
  <si>
    <t>mbautista@santander.gov.co</t>
  </si>
  <si>
    <t>contabilidad@giron-santander.gov.co</t>
  </si>
  <si>
    <t>candypabon@yahoo.es</t>
  </si>
  <si>
    <t>alcaldebtura7@msn.com</t>
  </si>
  <si>
    <t>contabilidad@bolivar.gov.co</t>
  </si>
  <si>
    <t>edmorales@cartagena.gov.co</t>
  </si>
  <si>
    <t>alcaldia@cucuta-nortedesantander.gov.co</t>
  </si>
  <si>
    <t>munifusa@fusagasuga.gov.co</t>
  </si>
  <si>
    <t>alcaldia@girardot-cundinamarca.gov.co</t>
  </si>
  <si>
    <t>vrrodriguez@gobernaciondecaldas.gov.co</t>
  </si>
  <si>
    <t>alcalde@manizales.gov.co</t>
  </si>
  <si>
    <t>nora.castano@antioquia.gov.co</t>
  </si>
  <si>
    <t>olga.gil@medellin.gov.co</t>
  </si>
  <si>
    <t>angela.franco@envigado.gov.co</t>
  </si>
  <si>
    <t>claudia.vanegas@bello.gov.co</t>
  </si>
  <si>
    <t>alcalde@turbo.gov.co</t>
  </si>
  <si>
    <t>contactenos@tumaco-narino.gov.co</t>
  </si>
  <si>
    <t>despacho@haciendapasto.gov.co</t>
  </si>
  <si>
    <t>contabilidad@palmira.gov.co</t>
  </si>
  <si>
    <t>contabilidad@guadalajaradebuga-valle.gov.co</t>
  </si>
  <si>
    <t>monicaeugenia5000@yahoo.com</t>
  </si>
  <si>
    <t>contactenos@risaralda.gov.co</t>
  </si>
  <si>
    <t>goberchoco@yahoo.es</t>
  </si>
  <si>
    <t>alcaldia@quibdo-choco.gov.co</t>
  </si>
  <si>
    <t>contabilidad@santamarta-magdalena.gov.co</t>
  </si>
  <si>
    <t>luisalbertotetealcalde@yahoo.es</t>
  </si>
  <si>
    <t>contabilidad@tunja.gov.co</t>
  </si>
  <si>
    <t>contador@sogamoso-boyaca.gov.co</t>
  </si>
  <si>
    <t>contabilidad@tulua.gov.co</t>
  </si>
  <si>
    <t>contabilidad@cartago.gov.co</t>
  </si>
  <si>
    <t>dgomezo@meta.gov.co</t>
  </si>
  <si>
    <t>contabilidadguainia@hotmail.com</t>
  </si>
  <si>
    <t>contabilidad@casanare.gov.co</t>
  </si>
  <si>
    <t>notificaciones@laguajira.gov.co</t>
  </si>
  <si>
    <t>denniswadydcorreamejia@yahoo.com</t>
  </si>
  <si>
    <t>contabilidad@sucre.gov.co</t>
  </si>
  <si>
    <t>contabilidad@cesar.gov.co</t>
  </si>
  <si>
    <t>servicioalciudadano@sanandres.gov.co</t>
  </si>
  <si>
    <t>contabilidad@shd.gov.co</t>
  </si>
  <si>
    <t>contabilidad@amazonas.gov.co</t>
  </si>
  <si>
    <t>atesoreria@edatel.net.co</t>
  </si>
  <si>
    <t>abriaqui97@yahoo.es</t>
  </si>
  <si>
    <t>carlos_zapata4@hotmail.com</t>
  </si>
  <si>
    <t>gestioncontable@epm.net.co</t>
  </si>
  <si>
    <t>alcalde@amalfi-antioquia.gov.go</t>
  </si>
  <si>
    <t>audicostos@une.net.co</t>
  </si>
  <si>
    <t>hacienda@angelopolis-antioquia.gov.co</t>
  </si>
  <si>
    <t>marycellyab@hotmaill.com</t>
  </si>
  <si>
    <t>gobierno@anori-antioquia.gov.co</t>
  </si>
  <si>
    <t>hacienda@anza-antioquia.gov.co</t>
  </si>
  <si>
    <t>hgiraldocontador@hotmail.com</t>
  </si>
  <si>
    <t>hacienda@argelia-antioquia.gov.co</t>
  </si>
  <si>
    <t>audicostos@epm.net.co</t>
  </si>
  <si>
    <t>alcaldia@barbosa.gov.co</t>
  </si>
  <si>
    <t>psai811@gmail.com</t>
  </si>
  <si>
    <t>secretariadehacienda@betania-antioquia.gov.co</t>
  </si>
  <si>
    <t>alcaldia@betulia-antioquia.gov.co</t>
  </si>
  <si>
    <t>luisbernardomorenov@hotmail.com</t>
  </si>
  <si>
    <t>hacienda@briceno-antioquia.gov.co</t>
  </si>
  <si>
    <t>hacienda@buritica-antioquia.gov.co</t>
  </si>
  <si>
    <t>benitoalcalde@gmail.com</t>
  </si>
  <si>
    <t>glorrfc@hotmail.com</t>
  </si>
  <si>
    <t>caldasfinanciera@une.net.co</t>
  </si>
  <si>
    <t>serviclascontaduria@yahoo.com</t>
  </si>
  <si>
    <t>glopezh126@gmail.com</t>
  </si>
  <si>
    <t>tesoreria@caracoli-antioquia.gov.co</t>
  </si>
  <si>
    <t>administracion@edatel.net.co</t>
  </si>
  <si>
    <t>hacienda@carepa-antioquia.gov.co</t>
  </si>
  <si>
    <t>alcaldia@elcarmendeviboral-antioquia.gov.co</t>
  </si>
  <si>
    <t>tesoreria@carolinadelprincipe-antioquia.gov.co</t>
  </si>
  <si>
    <t>informes@caucasia-antioquia.gov.co</t>
  </si>
  <si>
    <t>contactenos@chigorodo-antioquia.gov.co</t>
  </si>
  <si>
    <t>alcaldia@cisneros-antioquia.gov.co</t>
  </si>
  <si>
    <t>hacienda@cocorna-antioquia.gov.co</t>
  </si>
  <si>
    <t>concal01@edatel.net.co</t>
  </si>
  <si>
    <t>hacienda@concordia-antioquia.gov.co</t>
  </si>
  <si>
    <t>contabilidad@copacabana.gov.co</t>
  </si>
  <si>
    <t>samirva79@gmail.com</t>
  </si>
  <si>
    <t>contabilidad@donmatias-antioquia.gov.co</t>
  </si>
  <si>
    <t>hacienda@ebejico-antioquia.gov.co</t>
  </si>
  <si>
    <t>alcaldia@elbagre-antioquia.gov.co</t>
  </si>
  <si>
    <t>etikos@une.net.co</t>
  </si>
  <si>
    <t>fredonia05282@hotmail.com</t>
  </si>
  <si>
    <t>tesoreria@frontino-antioquia.gov.co</t>
  </si>
  <si>
    <t>tesoreria01@edatel.net.co</t>
  </si>
  <si>
    <t>shacienda@girardota.gov.co</t>
  </si>
  <si>
    <t>glori_fern@yahoo.com</t>
  </si>
  <si>
    <t>gobierno@granada-antioquia.gov.co</t>
  </si>
  <si>
    <t>luzma_aries@une.net.co</t>
  </si>
  <si>
    <t>contabilidad@guarne-antioquia.gov.co</t>
  </si>
  <si>
    <t>secretariadehacienda@guatape-antioquia.gov.co</t>
  </si>
  <si>
    <t>gestioncontable@une.net.co</t>
  </si>
  <si>
    <t>haciendahispania@hotmail.com</t>
  </si>
  <si>
    <t>hacienda@ituago-antioquia.gov.co</t>
  </si>
  <si>
    <t>gobierno@eljardin-antioquia.gov.co</t>
  </si>
  <si>
    <t>alcaldia@jerico-antioquia.gov.co</t>
  </si>
  <si>
    <t>contabilidad@laceja-antioquia.gov.co</t>
  </si>
  <si>
    <t>contabilidadest@laestrella.gov.co</t>
  </si>
  <si>
    <t>hacienda@lapintada-antioquia.gov.co</t>
  </si>
  <si>
    <t>gobierno@launion-antioquia.gov.co</t>
  </si>
  <si>
    <t>gobierno@liborina-antioquia.gov.co</t>
  </si>
  <si>
    <t>contabilidadmaceo@gmail.com</t>
  </si>
  <si>
    <t>contabilidad@marinilla-antioquia.gov.co</t>
  </si>
  <si>
    <t>consultenos@une.net.co</t>
  </si>
  <si>
    <t>tesoreriahacienda@gmail.com</t>
  </si>
  <si>
    <t>municipiodemutata@edatel.net.co</t>
  </si>
  <si>
    <t>tesoreria@narino-antioquia.gov.co</t>
  </si>
  <si>
    <t>necocli05490@hotmail.com</t>
  </si>
  <si>
    <t>narroyave923@hotmail.com</t>
  </si>
  <si>
    <t>alcaldia@elpenol-antioquia.gov.co</t>
  </si>
  <si>
    <t>alcaldia@peque-antioquia.gov.co</t>
  </si>
  <si>
    <t>dehincapie@soportesintegrales.com</t>
  </si>
  <si>
    <t>hacienda@puertoberrio-antioquia.gov.co</t>
  </si>
  <si>
    <t>a_suley_0607@hotmail.com</t>
  </si>
  <si>
    <t>tesoreria@puertotriunfo-antioquia.gov.co</t>
  </si>
  <si>
    <t>secretariadehacienda@elretiro-antioquia.gov.co</t>
  </si>
  <si>
    <t>contabilidad@rionegro.gov.co</t>
  </si>
  <si>
    <t>sabanalarga628@yahoo.es</t>
  </si>
  <si>
    <t>contabilidad@sabaneta.gov.co</t>
  </si>
  <si>
    <t>msalgar@edatel.net.co</t>
  </si>
  <si>
    <t>alcaldia@sancarlos.gov.co</t>
  </si>
  <si>
    <t>alcaldia@sanfrancisco-antioquia.gov.co</t>
  </si>
  <si>
    <t>jaimesd@une.net.co</t>
  </si>
  <si>
    <t>tesoreriasanjose@yahoo.es</t>
  </si>
  <si>
    <t>sanjuanura@yahoo.es</t>
  </si>
  <si>
    <t>contactenos@sanluis-antioquia.gov.co</t>
  </si>
  <si>
    <t>alcaldia@sanpedrodelosmilagros-antioquia.gov.co</t>
  </si>
  <si>
    <t>alcaldia@sanpedrodeuraba-antioquia.gov.co</t>
  </si>
  <si>
    <t>hacienda@sanroque-antioquia.gov.co</t>
  </si>
  <si>
    <t>hacienda@sanvicente-antioquia.gov.co</t>
  </si>
  <si>
    <t>contactenos@santabarbara-antioquia.gov.co</t>
  </si>
  <si>
    <t>contabilidad@santarosadeosos.gov.co</t>
  </si>
  <si>
    <t>gerenciacontable@une.net.co</t>
  </si>
  <si>
    <t>elsantuario@une.net.co</t>
  </si>
  <si>
    <t>alcaldesegovia@hotmail.com</t>
  </si>
  <si>
    <t>contactenos@sonson-antioquia.gov.co</t>
  </si>
  <si>
    <t>jwilmarvillaguerra@hotmail.com</t>
  </si>
  <si>
    <t>tameal01@edatel.net.co</t>
  </si>
  <si>
    <t>caespeciales@edatel.net.co</t>
  </si>
  <si>
    <t>tarso05792@hotmail.com</t>
  </si>
  <si>
    <t>usmajairo@hotmail.com</t>
  </si>
  <si>
    <t>shaciendatol12@gmail.com</t>
  </si>
  <si>
    <t>hacienda@uramita-antioquia.gov.co</t>
  </si>
  <si>
    <t>shacienda@urrao.gov.co</t>
  </si>
  <si>
    <t>asesoria@psasesoriasintegrales.com.co</t>
  </si>
  <si>
    <t>alcaldia@valparaiso-antioquia.gov.co</t>
  </si>
  <si>
    <t>audiocostos@epm.net.co</t>
  </si>
  <si>
    <t>tesoreria@venecia-antioquia.gov.co</t>
  </si>
  <si>
    <t>vigiafuerte@hotmail.com</t>
  </si>
  <si>
    <t>alcaldia@yali-antioquia.gov.co</t>
  </si>
  <si>
    <t>alcaldía@yarumal.gov.co</t>
  </si>
  <si>
    <t>shaciendayolombo@hotmail.com</t>
  </si>
  <si>
    <t>hacienda@zaragoza-antioquia.gov.co</t>
  </si>
  <si>
    <t>alcaldia@baranoa-atlantico.gov.co</t>
  </si>
  <si>
    <t>alcaldia.campodelacruz@gmail.com</t>
  </si>
  <si>
    <t>alcaldiacandelariaatlco@yahoo.es</t>
  </si>
  <si>
    <t>alcaldia@galapa-atlantico.gov.co</t>
  </si>
  <si>
    <t>padilla_sis@yahoo.es</t>
  </si>
  <si>
    <t>alcaldialuruaco@hotmail.com</t>
  </si>
  <si>
    <t>alcaldiademalambo@hotmail.com</t>
  </si>
  <si>
    <t>contacto@manati-atlantico.gov.co</t>
  </si>
  <si>
    <t>contactenos@palmardevarela-atlantico.gov.co</t>
  </si>
  <si>
    <t>mpiojoelvira@yahoo.es</t>
  </si>
  <si>
    <t>alcaldia@polonuevo-atlantico.gov.co</t>
  </si>
  <si>
    <t>alcaponedera@latinmail.com</t>
  </si>
  <si>
    <t>hacienda@puertocolombia-atlantico.gov.co</t>
  </si>
  <si>
    <t>contactenos@repelon-atlantico.gov.co</t>
  </si>
  <si>
    <t>alcaldia@sabanagrande-atlantico.gov.co</t>
  </si>
  <si>
    <t>alcaldia@sabanalarga-atlantico.gov.co</t>
  </si>
  <si>
    <t>contacto@santalucia-atlantico.gov.co</t>
  </si>
  <si>
    <t>contabilidad@santotomas-atlantico.gov.co</t>
  </si>
  <si>
    <t>alcaldia_suan@hotmail.com</t>
  </si>
  <si>
    <t>alcaldiatubara@hotmail.com</t>
  </si>
  <si>
    <t>contactenos@usiacuri-atlantico.gov.co</t>
  </si>
  <si>
    <t>alcaldiaachi@hotmail.com</t>
  </si>
  <si>
    <t>controlinterno@altosdelrosario-bolivar.gov.co</t>
  </si>
  <si>
    <t>aldomarpabuena@hotmail.com</t>
  </si>
  <si>
    <t>alcaldia@arjona-bolivar.gov.co</t>
  </si>
  <si>
    <t>alcaldia@arroyohondo-bolivar.gov.co</t>
  </si>
  <si>
    <t>contacto@barracodeloba-bolivar.gov.co</t>
  </si>
  <si>
    <t>jeavmo@hotmail.com</t>
  </si>
  <si>
    <t>arisbel21@yahoo.es</t>
  </si>
  <si>
    <t>secretariadehacienda@cicuco-bolivar.gov.co</t>
  </si>
  <si>
    <t>carcon-83@hotmail.com</t>
  </si>
  <si>
    <t>gibe0728@hotmail.com</t>
  </si>
  <si>
    <t>tesoreria@elcarmen-bolivar.gov.co</t>
  </si>
  <si>
    <t>contactenos@elguamo-bolivar.gov.co</t>
  </si>
  <si>
    <t>hernandorjs@hotmail.com</t>
  </si>
  <si>
    <t>alcaldia@hatillodeloba-bolivar.gov.co</t>
  </si>
  <si>
    <t>alcaldia@mahates-bolivar.gov.co</t>
  </si>
  <si>
    <t>afinanciera@margarita-bolivar.gov.co</t>
  </si>
  <si>
    <t>contactenos@marialabaja-bolivar.gov.co</t>
  </si>
  <si>
    <t>alcaldiampalmontecristo@hotmail.com</t>
  </si>
  <si>
    <t>haciendamompox@yahoo.es</t>
  </si>
  <si>
    <t>diomarcla09@yahoo.com</t>
  </si>
  <si>
    <t>alcaldia_municipal@hotmail.com</t>
  </si>
  <si>
    <t>liderandoprogreso@hotmail.com</t>
  </si>
  <si>
    <t>fguillenb123@hotmail.com</t>
  </si>
  <si>
    <t>niesve6@hotmail.com</t>
  </si>
  <si>
    <t>alcamunisanestanislao@yahoo.es</t>
  </si>
  <si>
    <t>alcaldia@sanfernando-bolivar.gov.co</t>
  </si>
  <si>
    <t>contactenos@sanjacintodelcauca-bolivar.gov.co</t>
  </si>
  <si>
    <t>contactenos@sanjuannepomuceno-bolivar.gov.co</t>
  </si>
  <si>
    <t>alcaldia@sanmartindeloba-bolivar.gov.co</t>
  </si>
  <si>
    <t>cristovanegasguarin@hotmail.com</t>
  </si>
  <si>
    <t>ronygomez4@hotmail.com</t>
  </si>
  <si>
    <t>contactenos@santarosadelnorte-bolivar.gov.co</t>
  </si>
  <si>
    <t>alcaldia@santarosadelsur-bolivar.gov.co</t>
  </si>
  <si>
    <t>mayobaron@hotmail.com</t>
  </si>
  <si>
    <t>germzalo@hotmail.com</t>
  </si>
  <si>
    <t>alcaldia@talaiguanuevo-bolivar.gov.co</t>
  </si>
  <si>
    <t>contactenos@tiquisio-bolivar.gov.co</t>
  </si>
  <si>
    <t>alcaldiaturbaco@yahoo.es</t>
  </si>
  <si>
    <t>marmolejorodrigueznelson@yahoo.com.co</t>
  </si>
  <si>
    <t>contabilidad@villanueva-bolivar.gov.co</t>
  </si>
  <si>
    <t>contacto@norosi-bolivar.gov.co</t>
  </si>
  <si>
    <t>munzambrano@zambrano.gov.co</t>
  </si>
  <si>
    <t>alcaldia@almeida-boyaca.gov.co</t>
  </si>
  <si>
    <t>ilmatbuitrago@yahoo.es</t>
  </si>
  <si>
    <t>alcaldia@arcabuco-boyaca.gov.co</t>
  </si>
  <si>
    <t>alcaldia@belen-boyaca.gov.co</t>
  </si>
  <si>
    <t>alcaldia@berbeo-boyaca.gov.co</t>
  </si>
  <si>
    <t>contactenos@beteitiva-boyaca.gov.co</t>
  </si>
  <si>
    <t>municipioboavita@gmail.com</t>
  </si>
  <si>
    <t>pancha5789@hotmail.com</t>
  </si>
  <si>
    <t>edgarcastillo2005@yahoo.com</t>
  </si>
  <si>
    <t>secdespacho@buenavista-boyaca.gov.co</t>
  </si>
  <si>
    <t>contactenos@busbanza-boyaca.gov.co</t>
  </si>
  <si>
    <t>contactenos@caldas-boyaca.gov.co</t>
  </si>
  <si>
    <t>campohermosoboy@yahoo.es</t>
  </si>
  <si>
    <t>alcaldia@cerinza-boyaca.gov.co</t>
  </si>
  <si>
    <t>sandraizr@gmail.com</t>
  </si>
  <si>
    <t>presupuestoycontabilidad@chiquinquira-boyaca.gov</t>
  </si>
  <si>
    <t>contactenos@chiscas-boyaca.gov.co</t>
  </si>
  <si>
    <t>municipiochita@yahoo.com</t>
  </si>
  <si>
    <t>tesoreria@chitaraque-boyaca.gov.co</t>
  </si>
  <si>
    <t>municipiodechivata@gmail.com</t>
  </si>
  <si>
    <t>alcaldia@combita-boyaca.gov.co</t>
  </si>
  <si>
    <t>municipiodecoper@yahoo.com</t>
  </si>
  <si>
    <t>tesoreria@corrales-boyaca.gov.co</t>
  </si>
  <si>
    <t>hacienda@covarachia-boyaca.gov.co</t>
  </si>
  <si>
    <t>alcaldia@cubara-boyaca.gov.co</t>
  </si>
  <si>
    <t>contactenos@cucaita-boyaca.gov.co</t>
  </si>
  <si>
    <t>contactenos@cuitiva-boyaca.gov.co</t>
  </si>
  <si>
    <t>carloseborras@hotmail.com</t>
  </si>
  <si>
    <t>chivormunicipio@yahoo.com</t>
  </si>
  <si>
    <t>alcaldia@elcocuy-boyaca.gov.co</t>
  </si>
  <si>
    <t>alcaldia@elespino-boyaca.gov.co</t>
  </si>
  <si>
    <t>alcaldiafiravitoba@yahoo.es</t>
  </si>
  <si>
    <t>smiledup@hotmail.com</t>
  </si>
  <si>
    <t>alcaldia@gachantiva-boyaca.gov.co</t>
  </si>
  <si>
    <t>beatriz.salamanca@sinfa.com.co</t>
  </si>
  <si>
    <t>alcaldia@garagoa-boyaca.gov.co</t>
  </si>
  <si>
    <t>merypinto25@hotmail.com</t>
  </si>
  <si>
    <t>contabilidadguateque@gmail.com</t>
  </si>
  <si>
    <t>cocadas2001@yahoo.com</t>
  </si>
  <si>
    <t>alcaldia@guican-boyaca.gov.co</t>
  </si>
  <si>
    <t>contactenos@iza-boyaca.gov.co</t>
  </si>
  <si>
    <t>aoaraque1@hotmail.com</t>
  </si>
  <si>
    <t>anyriao@yahoo.com</t>
  </si>
  <si>
    <t>alcaldialacapilla@yahoo.es</t>
  </si>
  <si>
    <t>contactenos@lavictoria-boyaca.gov.co</t>
  </si>
  <si>
    <t>alcaldia@lauvita-boyaca.gov.co</t>
  </si>
  <si>
    <t>hacienda@villadeleyva-boyaca.gov.co</t>
  </si>
  <si>
    <t>alcaldia@macanal-boyaca.gov.co</t>
  </si>
  <si>
    <t>municipiomaripi@yahoo.com</t>
  </si>
  <si>
    <t>mirafloresalcaldia@yahoo.com</t>
  </si>
  <si>
    <t>contactenos@mongua-boyaca.gov.co</t>
  </si>
  <si>
    <t>alcaldia@mongui_boyaca.gov.co</t>
  </si>
  <si>
    <t>moniquiramunicipal@hotmail.com</t>
  </si>
  <si>
    <t>contactenos@motavita-boyaca.gov.co</t>
  </si>
  <si>
    <t>municipiodemuzo@yahoo.es</t>
  </si>
  <si>
    <t>hacienda@nobsa-boyaca.gov.co</t>
  </si>
  <si>
    <t>merlymaranta@yahoo.com</t>
  </si>
  <si>
    <t>alcaldia@oicata-boyaca.gov.co</t>
  </si>
  <si>
    <t>pachavitamunicipio@yahoo.com</t>
  </si>
  <si>
    <t>tesoreria@paez-boyaca.gov.co</t>
  </si>
  <si>
    <t>contabilidad@paipa-boyaca.gov.co</t>
  </si>
  <si>
    <t>alcaldia@pajarito-boyaca.gov.co</t>
  </si>
  <si>
    <t>tesoreria@panqueba-boyaca.gov.co</t>
  </si>
  <si>
    <t>alcaldiapaya@yahoo.com</t>
  </si>
  <si>
    <t>alcaldia@pazderio-boyaca.gov.co</t>
  </si>
  <si>
    <t>sandraizr2005@yahoo.es</t>
  </si>
  <si>
    <t>anyaripi@gmail.com</t>
  </si>
  <si>
    <t>sechacmpal@puertoboyaca-boyaca.gov.co</t>
  </si>
  <si>
    <t>tesoreria@quipama-boyaca.gov.co</t>
  </si>
  <si>
    <t>contactenos@alcaldia-raquira.gov.co</t>
  </si>
  <si>
    <t>Servicon_70@yahoo.com</t>
  </si>
  <si>
    <t>contadorabravo@yahoo.es</t>
  </si>
  <si>
    <t>auroracuervo77@hotmail.com</t>
  </si>
  <si>
    <t>contactenos@samaca-boyaca.gov.co</t>
  </si>
  <si>
    <t>hacienda.saneduardo@gmail.com</t>
  </si>
  <si>
    <t>alcaldiasanjosedepare@hotmail.com</t>
  </si>
  <si>
    <t>miguelacosta529@gmail.com</t>
  </si>
  <si>
    <t>alcaldia@sanmateo-boyaca.gov.co</t>
  </si>
  <si>
    <t>contactenos@sanmigueldesema-boyaca.gov.co</t>
  </si>
  <si>
    <t>miriamr266@yahoo.com</t>
  </si>
  <si>
    <t>contactenos@santana-boyaca.gov.co</t>
  </si>
  <si>
    <t>elsa_esguerra_salgado@hotmail.com</t>
  </si>
  <si>
    <t>starosaviterbo@gmail.com</t>
  </si>
  <si>
    <t>santasofiamunicipio@yahoo.com</t>
  </si>
  <si>
    <t>alcaldia@sativanorte-boyaca.gov.co</t>
  </si>
  <si>
    <t>tesoreriamunicipalsativasur@yahoo.es</t>
  </si>
  <si>
    <t>alcaldia@siachoque-boyaca.gov.co</t>
  </si>
  <si>
    <t>alcaldia@soata-boyaca.gov.co</t>
  </si>
  <si>
    <t>pablolizarazo.0403@hotmail.com</t>
  </si>
  <si>
    <t>alcaldia@socha-boyaca.gov.co</t>
  </si>
  <si>
    <t>alcaldia@somondoco-boyaca.gov.co</t>
  </si>
  <si>
    <t>patomania1504@yahoo.com</t>
  </si>
  <si>
    <t>albaluciamar@yahoo.es</t>
  </si>
  <si>
    <t>alcaldia@soraca-boyaca.gov.co</t>
  </si>
  <si>
    <t>alcaldia@susacon-boyaca.gov.co</t>
  </si>
  <si>
    <t>pfboy2008@hotmail.com</t>
  </si>
  <si>
    <t>alcaldiasutatenzaboy@colombia.com</t>
  </si>
  <si>
    <t>gcgloris88@yahoo.com.co</t>
  </si>
  <si>
    <t>alcaldia@tenza-boyaca.gov.co</t>
  </si>
  <si>
    <t>sabinacuervo@hotmail.com</t>
  </si>
  <si>
    <t>rruuiizz@gmail.com</t>
  </si>
  <si>
    <t>contafin81@yahoo.com</t>
  </si>
  <si>
    <t>contamargareth@gmail.com</t>
  </si>
  <si>
    <t>togui_b@hotmail.com</t>
  </si>
  <si>
    <t>alcaldia@topaga-boyaca.gov.co</t>
  </si>
  <si>
    <t>juveperez@hotmail.com</t>
  </si>
  <si>
    <t>contactenos@tunungua-boyaca.gov.co</t>
  </si>
  <si>
    <t>contactenos@turmeque-boyaca.gov.co</t>
  </si>
  <si>
    <t>secretariahacienda@tuta-boyaca.gov.co</t>
  </si>
  <si>
    <t>municipiodetutaza@gmail.com</t>
  </si>
  <si>
    <t>bacruz08@gmail.com</t>
  </si>
  <si>
    <t>alcaldia@ventaquemada-boyaca.gov.co</t>
  </si>
  <si>
    <t>alcaldia@viracacha-boyaca.gov.co</t>
  </si>
  <si>
    <t>alcaldia@zetaquira.gov.co</t>
  </si>
  <si>
    <t>monikda91@hotmail.com</t>
  </si>
  <si>
    <t>Alcaldia@anserma-caldas.gov.co</t>
  </si>
  <si>
    <t>alcaldia@aranzazu-caldas.gov.co</t>
  </si>
  <si>
    <t>belarcazarcald@telecom.com.co</t>
  </si>
  <si>
    <t>alcaldiachinchina@gmail.com</t>
  </si>
  <si>
    <t>alcaldiafiladelfia@yahoo.com</t>
  </si>
  <si>
    <t>alcaldia@lamerced-caldas.gov.co</t>
  </si>
  <si>
    <t>hacienda@manzanares-caldas.gov.co</t>
  </si>
  <si>
    <t>alcaldia@marmato-caldas.gov.co</t>
  </si>
  <si>
    <t>contactenos@marquetalia-caldas.gov.co</t>
  </si>
  <si>
    <t>aagcsis@gmail.com</t>
  </si>
  <si>
    <t>contactenos@neira-caldas.gov.co</t>
  </si>
  <si>
    <t>alcaldia@norcasia-caldas.gov.co</t>
  </si>
  <si>
    <t>tesoreria@pacora-caldas.gov.co</t>
  </si>
  <si>
    <t>tesoreriapensil@yahoo.es</t>
  </si>
  <si>
    <t>alcaldiamunicipal@riosuciocaldas.gov.co</t>
  </si>
  <si>
    <t>municipioderisaralda@yahoo.com.mx</t>
  </si>
  <si>
    <t>dianasepulvedagallego@hotmail.com</t>
  </si>
  <si>
    <t>tesoreria@samana-caldas.gov.co</t>
  </si>
  <si>
    <t>alcaldia_sanjose@hotmail.com</t>
  </si>
  <si>
    <t>supiacaldas@telesat.com.co</t>
  </si>
  <si>
    <t>tesoreria@victoria-caldas.gov.co</t>
  </si>
  <si>
    <t>alcaldia@villamaria-caldas.gov.co</t>
  </si>
  <si>
    <t>hacienda@viterbo-caldas.gov.co</t>
  </si>
  <si>
    <t>contactenos@albania-caqueta.gov.co</t>
  </si>
  <si>
    <t>alcaldia@belendelosandaquies-caqueta.gov.co</t>
  </si>
  <si>
    <t>alcaldia@cartagenadelchaira-caqueta.gov.co</t>
  </si>
  <si>
    <t>alcaldia@curillo-caqueta.gov.co</t>
  </si>
  <si>
    <t>eldoncello247@yahoo.com</t>
  </si>
  <si>
    <t>tesoreriamunicipal@elpaujil-caqueta.gov.co</t>
  </si>
  <si>
    <t>alcaldia@milan-caqueta.gov.co</t>
  </si>
  <si>
    <t>alcaldia@morelia-caqueta.gov.co</t>
  </si>
  <si>
    <t>despachoalcalde@puertorico-caqueta.gov.co</t>
  </si>
  <si>
    <t>alcaldia@sanjosedelfragua-caqueta.gov.co</t>
  </si>
  <si>
    <t>alcaldia@sanvicentedelcaguan-caqueta.gov.co</t>
  </si>
  <si>
    <t>alcaldia@solano-caqueta.gov.co</t>
  </si>
  <si>
    <t>alcaldiadesolita@hotmail.com</t>
  </si>
  <si>
    <t>contactenos@valparaiso-caqueta.gov.co</t>
  </si>
  <si>
    <t>contactenos@almaguer-cauca.gov.co</t>
  </si>
  <si>
    <t>alcaldia@argelia-cauca.gov.co</t>
  </si>
  <si>
    <t>silfacar@hotmail.com</t>
  </si>
  <si>
    <t>alcaldia@bolivar-cauca.gov.co</t>
  </si>
  <si>
    <t>buenosaires2008-2011@hotmail.com</t>
  </si>
  <si>
    <t>alcaldia@cajibio-cauca.gov.co</t>
  </si>
  <si>
    <t>contactenos@caldono-cauca.gov.co</t>
  </si>
  <si>
    <t>calotocauca@yahoo.com</t>
  </si>
  <si>
    <t>alcaldia@corinto-cauca.gov.co</t>
  </si>
  <si>
    <t>alcaldiamunicipalfloren@yahoo.es</t>
  </si>
  <si>
    <t>kike1015@hotmail.com</t>
  </si>
  <si>
    <t>alcaldia@inza-cauca.gov.co</t>
  </si>
  <si>
    <t>municipiojambalo@gmail.com</t>
  </si>
  <si>
    <t>tesoreria@lasierra-cauca.gov.co</t>
  </si>
  <si>
    <t>hrbpop@hotmail.com</t>
  </si>
  <si>
    <t>alcaldia@mercaderes-cauca.gov.co</t>
  </si>
  <si>
    <t>tesoreria@miranda-cauca.gov.co</t>
  </si>
  <si>
    <t>hacienda@morales-cauca.gov.co</t>
  </si>
  <si>
    <t>contabilidad@padilla-cauca.gov.co</t>
  </si>
  <si>
    <t>alcaldia@paez-cauca.gov.co</t>
  </si>
  <si>
    <t>alcaldia@patia-cauca.gov.co</t>
  </si>
  <si>
    <t>secretariafinanciera@piamonte-cauca.gov.co</t>
  </si>
  <si>
    <t>municipiodepiendamo@gmail.com</t>
  </si>
  <si>
    <t>javiergaviria65@hotmail.com</t>
  </si>
  <si>
    <t>alexbetancourtg@gmail.com</t>
  </si>
  <si>
    <t>armandogomezo@hotmail.com</t>
  </si>
  <si>
    <t>alcaldia@santanderdequilichao-cauca.gov.co</t>
  </si>
  <si>
    <t>contactenos@santarosa-cauca.gov.co</t>
  </si>
  <si>
    <t>contactenos@silvia-cauca.gov.co</t>
  </si>
  <si>
    <t>alcaldia@sotara-cauca.gov.co</t>
  </si>
  <si>
    <t>contactenos@suarez-cauca.gov.co</t>
  </si>
  <si>
    <t>municipiodesucrecauca@gmail.com</t>
  </si>
  <si>
    <t>milaflor20@hotmail.com</t>
  </si>
  <si>
    <t>contactenos@toribio-cauca.gov.co</t>
  </si>
  <si>
    <t>totorocauca@gmail.com</t>
  </si>
  <si>
    <t>alcaldia@villarica-cauca.gov.co</t>
  </si>
  <si>
    <t>contabilidad@aguachica-cesar.gov.co</t>
  </si>
  <si>
    <t>contacto@agustincodazzi-cesar.gov.co</t>
  </si>
  <si>
    <t>alcaldia@astrea-cesar.gov.co</t>
  </si>
  <si>
    <t>contacto@becerril-cesar.gov.co</t>
  </si>
  <si>
    <t>leisman300199@hotmail.com</t>
  </si>
  <si>
    <t>alcaldiadechimichagua@yahoo.es</t>
  </si>
  <si>
    <t>alcaldia@chiriguana-cesar.gov.co</t>
  </si>
  <si>
    <t>alcaldia@curumani-cesar.gov.co</t>
  </si>
  <si>
    <t>alcaldiaelpasocesar@gmail.com</t>
  </si>
  <si>
    <t>chechar16@hotmail.com</t>
  </si>
  <si>
    <t>alcaldia@gonzalez-cesar.gov.co</t>
  </si>
  <si>
    <t>josalro19@yahoo.es</t>
  </si>
  <si>
    <t>alcaldia@lajaguadeibirico-cesar.gov.co</t>
  </si>
  <si>
    <t>alcaldia@manaurebalcondelcesar-cesar.gov.co</t>
  </si>
  <si>
    <t>raul.cardozo@hotmail.com</t>
  </si>
  <si>
    <t>hacienda.pelayacesar@hotmail.com</t>
  </si>
  <si>
    <t>msluquez@hotmail.com</t>
  </si>
  <si>
    <t>alcaldia@riodeoro-cesar.gov.co</t>
  </si>
  <si>
    <t>karentmartinezd@gmail.com</t>
  </si>
  <si>
    <t>despachomunicipal@sanalberto-cesar.gov.co</t>
  </si>
  <si>
    <t>alcalde@sandiegocesar.gov.co</t>
  </si>
  <si>
    <t>johnnsilva@hotmail.com</t>
  </si>
  <si>
    <t>alcaldia@tamalameque-cesar.gov.co</t>
  </si>
  <si>
    <t>alcaldia@ayapel-cordoba.gov.co</t>
  </si>
  <si>
    <t>contacto@buenavista-cordoba.gov.co</t>
  </si>
  <si>
    <t>sonbuel@gmail.com</t>
  </si>
  <si>
    <t>hacienda@cerete-cordoba.gov.co</t>
  </si>
  <si>
    <t>alcaldiachima@hotmail.com</t>
  </si>
  <si>
    <t>alcaldia@chinu-cordoba.gov.co</t>
  </si>
  <si>
    <t>alcaldia@cienagadeoro-cordoba.gov.co</t>
  </si>
  <si>
    <t>anaguz2008@hotmail.com</t>
  </si>
  <si>
    <t>la_apartadacordoba@latinmail.com</t>
  </si>
  <si>
    <t>contactenos@loscordobas-cordoba.gov.co</t>
  </si>
  <si>
    <t>controlinterno@momil-cordoba.gov.co</t>
  </si>
  <si>
    <t>contabilidad@montelibano-cordoba.gov.co</t>
  </si>
  <si>
    <t>contactenos@monitos-cordoba.gov.co</t>
  </si>
  <si>
    <t>hacienda@planetarica-cordoba.gov.co</t>
  </si>
  <si>
    <t>alcaldiapueblonuevo@hotmail.com</t>
  </si>
  <si>
    <t>juridica@puertoescondido-cordoba.gov.co</t>
  </si>
  <si>
    <t>contactenos@puertolibertador-cordoba.gov.co</t>
  </si>
  <si>
    <t>alcaldia@sanandresdesotavento-cordoba.gov.co</t>
  </si>
  <si>
    <t>alcaldia@sanantero-cordoba.gov.co</t>
  </si>
  <si>
    <t>alcaldia@sanbernardodelviento-cordoba.gov.co</t>
  </si>
  <si>
    <t>contactenos@sancarlos-cordoba.gov.co</t>
  </si>
  <si>
    <t>contactenos@tierralta-cordoba.gov.co</t>
  </si>
  <si>
    <t>tesoreriavalencia@gmail.com</t>
  </si>
  <si>
    <t>gacb25@hotmail.com</t>
  </si>
  <si>
    <t>alcaldia@alban-cundinamarca.gov.co</t>
  </si>
  <si>
    <t>jsierragomez@yahoo.com</t>
  </si>
  <si>
    <t>osman_oso_@yahoo.es</t>
  </si>
  <si>
    <t>alcaldia@arbelaez-cundinamarca.gov.co</t>
  </si>
  <si>
    <t>tesoreria@beltran-cundinamarca.gov.co</t>
  </si>
  <si>
    <t>secretariadehacienda@bituima-cundinamarca.gov.co</t>
  </si>
  <si>
    <t>alcaldia@bojaca-cundinamarca.gov.co</t>
  </si>
  <si>
    <t>larojas_q@hotmail.com</t>
  </si>
  <si>
    <t>mabarbosa.alcalde@gmial.com</t>
  </si>
  <si>
    <t>tesoreria@caparrapi-cundinamarca.gov.co</t>
  </si>
  <si>
    <t>secrehaciendacaqueza@yahoo.es</t>
  </si>
  <si>
    <t>hacienda@carmendecarupa-cundinamarca.gov.co</t>
  </si>
  <si>
    <t>chaguani@cundinamarca.gov.co</t>
  </si>
  <si>
    <t>mariadelosangeles@chia.gov.co</t>
  </si>
  <si>
    <t>monicabuitrago3@hotmail.com</t>
  </si>
  <si>
    <t>alcaldia@choachi-cundinamarca.gov.co</t>
  </si>
  <si>
    <t>ecgchoconta@yahoo.es</t>
  </si>
  <si>
    <t>contactenos@cogua-cundinamarca.gov.co</t>
  </si>
  <si>
    <t>haciendacota@etb.net.co</t>
  </si>
  <si>
    <t>yoismil2@hotmail.com</t>
  </si>
  <si>
    <t>bibiana_rodriguezp@yahoo.com.co</t>
  </si>
  <si>
    <t>alcaldia@elpenon-cundinamarca.gov.co</t>
  </si>
  <si>
    <t>contadorpublicoucc@hotmail.com</t>
  </si>
  <si>
    <t>haciendafacatativa@yahoo.com</t>
  </si>
  <si>
    <t>alcaldia@fomeque-cundinamarca.gov.co</t>
  </si>
  <si>
    <t>ecorchuelo1205@yahoo.es</t>
  </si>
  <si>
    <t>funza@funza.gov.co</t>
  </si>
  <si>
    <t>hacienda@fuquene-cundinamarca.gov.co</t>
  </si>
  <si>
    <t>alcaldia@gachala-cundinamarca.gov.co</t>
  </si>
  <si>
    <t>maryoryzam@hotmail.com</t>
  </si>
  <si>
    <t>gacheta@yahoo.es</t>
  </si>
  <si>
    <t>alcaldiagama@colombia.com</t>
  </si>
  <si>
    <t>alcaldiagranadacun@telecom.com.co</t>
  </si>
  <si>
    <t>guacheta@cundinamarca.gov.co</t>
  </si>
  <si>
    <t>alcaldia@guaduas-cundinamarca.gov.co</t>
  </si>
  <si>
    <t>alcaldia@guasca-cundinamarca.gov.co</t>
  </si>
  <si>
    <t>jjannerh@hotmail.com</t>
  </si>
  <si>
    <t>tesoreriamunicipalguatavita@yahoo.es</t>
  </si>
  <si>
    <t>tesoreriaguayabal@yahoo.es</t>
  </si>
  <si>
    <t>haciendaguayabetal@yahoo.es</t>
  </si>
  <si>
    <t>contactenos@gutierrez-cundinamarca.gov.co</t>
  </si>
  <si>
    <t>mjerusalen368@hotmail.com</t>
  </si>
  <si>
    <t>alcaldia@junin-cundinamarca.gov.co</t>
  </si>
  <si>
    <t>contabilidad@lamesa-cundinamarca.gov.co</t>
  </si>
  <si>
    <t>alcaldia@lapena-cundinamarca.gov.co</t>
  </si>
  <si>
    <t>lavega@cundinamarca.gov.co</t>
  </si>
  <si>
    <t>municipiodelenguazaque@yahoo.es</t>
  </si>
  <si>
    <t>contactenos@macheta-cundinamarca.gov.co</t>
  </si>
  <si>
    <t>alcaldia@madrid-cundinamarca.gov.co</t>
  </si>
  <si>
    <t>manta@cundinamarca.gov.co</t>
  </si>
  <si>
    <t>elsanovoa75@hotmail.com</t>
  </si>
  <si>
    <t>rnovoa72@yahoo.com</t>
  </si>
  <si>
    <t>contabilidad.narino@yahoo.com</t>
  </si>
  <si>
    <t>richard25ramirez@yahoo.com</t>
  </si>
  <si>
    <t>alcaldia@nilo-cundinamarca.gov.co</t>
  </si>
  <si>
    <t>contabilidad@nimaima-cundinamarca.gov.co</t>
  </si>
  <si>
    <t>tesoreria@nocaima.gov.co</t>
  </si>
  <si>
    <t>alcaldia@pacho-cundinamarca.gov.co</t>
  </si>
  <si>
    <t>alcaldia@paime-cundinamarca.gov.co</t>
  </si>
  <si>
    <t>haciendapandi@gmail.com</t>
  </si>
  <si>
    <t>lesus14@hotmail.com</t>
  </si>
  <si>
    <t>mjccaf@hotmail.com</t>
  </si>
  <si>
    <t>sistemas@puertosalgar-cundinamarca.gov.co</t>
  </si>
  <si>
    <t>contactenos@puli-cundinamarca.gov.co</t>
  </si>
  <si>
    <t>alcaldia@quetame-cundinamarca.gov.co</t>
  </si>
  <si>
    <t>edilbertobarrioscontreras@yahoo.com</t>
  </si>
  <si>
    <t>merysalamanca@hotmail.com</t>
  </si>
  <si>
    <t>dorisbc74@yahoo.es</t>
  </si>
  <si>
    <t>alcaldia@sanantoniodeltequendama-cundinamarca.gov.co</t>
  </si>
  <si>
    <t>alcaldia@sanbernardo-cundinamarca.gov.co</t>
  </si>
  <si>
    <t>yoly974@gmail.com</t>
  </si>
  <si>
    <t>municipio.sanjuanderioseco@gmail.com</t>
  </si>
  <si>
    <t>alcaldia@sasaima-cundinamarca.gov.co</t>
  </si>
  <si>
    <t>sec.hacienda@sesquile-cundinamarca.gov.co</t>
  </si>
  <si>
    <t>alcaldia@sibate-cundinamarca.gov.co</t>
  </si>
  <si>
    <t>pequetita86@hotmail.com</t>
  </si>
  <si>
    <t>tesoreria.prof@sopo-cundinamarca.gov.co</t>
  </si>
  <si>
    <t>jaime2901@gmail.com</t>
  </si>
  <si>
    <t>sechacienda@suesca-cundinamarca.gov.co</t>
  </si>
  <si>
    <t>contactenos@supata-cundinamarca.gov.co</t>
  </si>
  <si>
    <t>alcaldia@susa-cundinamarca.gov.co</t>
  </si>
  <si>
    <t>sechacienda@sutatausa-cundinamarca.gov.co</t>
  </si>
  <si>
    <t>hacienda@tabio-cundinamarca.gov.co</t>
  </si>
  <si>
    <t>contador@tenjo-cundinamarca.gov.co</t>
  </si>
  <si>
    <t>alcaldia@tibacuy-cundinamarca.gov.co</t>
  </si>
  <si>
    <t>alpe2308@hotmail.com</t>
  </si>
  <si>
    <t>contactenos@tocaima-cundinamarca.gov.co</t>
  </si>
  <si>
    <t>tocancip@cundinamarca.gov.co</t>
  </si>
  <si>
    <t>alcaldia@topaipi-cundinamarca.gov.co</t>
  </si>
  <si>
    <t>contactenos@ubaque-cundinamarca.gov.co</t>
  </si>
  <si>
    <t>alcaldia@utica-cundinamarca.gov.co</t>
  </si>
  <si>
    <t>hacienda@vergara-cundinamarca.gov.co</t>
  </si>
  <si>
    <t>luciaroasesor@etb.net.co</t>
  </si>
  <si>
    <t>alcaldia@villagomez-cundinamarca.gov.co</t>
  </si>
  <si>
    <t>contactenos@villapinzon-cundinamarca.gov.co</t>
  </si>
  <si>
    <t>villeta.cundinamarca@gmail.com</t>
  </si>
  <si>
    <t>jdh200566@gmail.com</t>
  </si>
  <si>
    <t>zipacon@cundinamarca.gov.co</t>
  </si>
  <si>
    <t>secretariafinanciera@yahoo.es</t>
  </si>
  <si>
    <t>alcaldia@acandi-choco.gov.co</t>
  </si>
  <si>
    <t>papolozano@hotmail.com</t>
  </si>
  <si>
    <t>ye.pacha@hotmail.com</t>
  </si>
  <si>
    <t>elimore2007@hotmail.com</t>
  </si>
  <si>
    <t>alcaldiamunicipal@hotmail.com</t>
  </si>
  <si>
    <t>alcaldiabajobaudo@yahoo.es</t>
  </si>
  <si>
    <t>alcaldia@Bojaya-choco.gov.co</t>
  </si>
  <si>
    <t>contactenos@elcantondesanpablo-choco.gov.co</t>
  </si>
  <si>
    <t>roamena@hotmail.com</t>
  </si>
  <si>
    <t>wmor72@hotmail.com</t>
  </si>
  <si>
    <t>alcaldia@condoto-choco.gov.co</t>
  </si>
  <si>
    <t>contactenos@elcarmendeatrato-choco.gov.co</t>
  </si>
  <si>
    <t>salcedojaimehumberto@hotmail.com</t>
  </si>
  <si>
    <t>yilennyleudo@hotmail.com</t>
  </si>
  <si>
    <t>municipiojurado@gmail.com</t>
  </si>
  <si>
    <t>contactenos@lloro-choco.gov.co</t>
  </si>
  <si>
    <t>medioatrato@hotmail.com</t>
  </si>
  <si>
    <t>contactenos@mediobaudo-choco.gov.co</t>
  </si>
  <si>
    <t>alcaldia@mediosanjuan-choco.gov.co</t>
  </si>
  <si>
    <t>contactenos@novita-choco.gov.co</t>
  </si>
  <si>
    <t>djimenez70@gmail.com</t>
  </si>
  <si>
    <t>rosibethpalacios@yahoo.es</t>
  </si>
  <si>
    <t>contactenos@rioquito-choco.gov.co</t>
  </si>
  <si>
    <t>menacontador@yahoo.es</t>
  </si>
  <si>
    <t>fdoda@msn.com</t>
  </si>
  <si>
    <t>alcaldia@tado-choco.gov.co</t>
  </si>
  <si>
    <t>contactenos@unguia-choco.gov.co</t>
  </si>
  <si>
    <t>municipiounionpanamerica@yahoo.es</t>
  </si>
  <si>
    <t>alcaldia@acevedo-huila.gov.co</t>
  </si>
  <si>
    <t>muniagrado37@yahoo.com</t>
  </si>
  <si>
    <t>alcaldia@aipe-huila.gov.co</t>
  </si>
  <si>
    <t>secretariageneral@algeciras-huila.gov.co</t>
  </si>
  <si>
    <t>contactenos@campoalegre-huila.gov.co</t>
  </si>
  <si>
    <t>colombiahuila@hacienda.gov.co</t>
  </si>
  <si>
    <t>municipioelias@yahoo.com</t>
  </si>
  <si>
    <t>mgarzonhc@hotmail.com</t>
  </si>
  <si>
    <t>alcaldia@gigante-huila.gov.co</t>
  </si>
  <si>
    <t>guadalupehuila@yahoo.com</t>
  </si>
  <si>
    <t>alcaldia@hobo-huila.gov.co</t>
  </si>
  <si>
    <t>kellys1584@yahoo.es</t>
  </si>
  <si>
    <t>secretariadehacienda@isnos-huila.gov.co</t>
  </si>
  <si>
    <t>alcaldia@laargentina-huila.gov.co</t>
  </si>
  <si>
    <t>gloriafcaupaz@gmail.com</t>
  </si>
  <si>
    <t>constanzacbc@hotmail.com</t>
  </si>
  <si>
    <t>contactenos@oporapa-huila.gov.co</t>
  </si>
  <si>
    <t>daduart34@hotmail.com</t>
  </si>
  <si>
    <t>felipechar@hotmail.com</t>
  </si>
  <si>
    <t>alcaldiapalestinahuila@yahoo.es</t>
  </si>
  <si>
    <t>alcaldia@elpitalhuila.gov.co</t>
  </si>
  <si>
    <t>secretariahaciendapitalito@gmail.com</t>
  </si>
  <si>
    <t>contacto@rivera-huila.gov.co</t>
  </si>
  <si>
    <t>contactenos@saladoblanco-huila.gov.co</t>
  </si>
  <si>
    <t>jimmyfer88@hotmail.com</t>
  </si>
  <si>
    <t>alcaldia@santamaria-huila.gov.co</t>
  </si>
  <si>
    <t>alcaldia@suaza-huila.gov.co</t>
  </si>
  <si>
    <t>alcaldiatarqui@hotmail.com</t>
  </si>
  <si>
    <t>contactenos@tesalia-huila.gov.co</t>
  </si>
  <si>
    <t>hacienda@tello-huila.gov.co</t>
  </si>
  <si>
    <t>alcaldiateruelh@yahoo.es</t>
  </si>
  <si>
    <t>diclar074@yahoo.es</t>
  </si>
  <si>
    <t>tesoreria@yaguara-huila.gov.co</t>
  </si>
  <si>
    <t>controlinterno@riohacha-laguajira.gov.co</t>
  </si>
  <si>
    <t>secretariahacienda@albania-laguajira.gov.co</t>
  </si>
  <si>
    <t>alcaldia@barrancas.gov.co</t>
  </si>
  <si>
    <t>despachodibulla@hotmail.es</t>
  </si>
  <si>
    <t>alcaldia@distraccion-laguajira.gov.co</t>
  </si>
  <si>
    <t>molinoguajira@yahoo.com</t>
  </si>
  <si>
    <t>alcaldia@fonseca-guajira.gov.co</t>
  </si>
  <si>
    <t>andrea2503m@hotmail.com</t>
  </si>
  <si>
    <t>rafaelmaya24@hotmail.com</t>
  </si>
  <si>
    <t>alcaldia@sanjuandelcesar-laguajira.gov.co</t>
  </si>
  <si>
    <t>alcaldia_urumita@hotmail.com</t>
  </si>
  <si>
    <t>avvaguajira@yahoo.es</t>
  </si>
  <si>
    <t>alcaldia@algarrobo-magdalena.gov.co</t>
  </si>
  <si>
    <t>tufuth.hatum@hotmail.com</t>
  </si>
  <si>
    <t>castillabuena@hotmail.com</t>
  </si>
  <si>
    <t>alcaldiadecerro@yahoo.com</t>
  </si>
  <si>
    <t>contacto@chibolo-magdalena.gov.co</t>
  </si>
  <si>
    <t>alcaldiaelbanco@yahoo.com</t>
  </si>
  <si>
    <t>tesoreria@elpinon-magdalena.gov.co</t>
  </si>
  <si>
    <t>alcaldia@elreten-magdalena.gov.co</t>
  </si>
  <si>
    <t>alcaldia@fundacion-magdalena.gov.co</t>
  </si>
  <si>
    <t>alcaldia@guamal-magdalena.gov.co</t>
  </si>
  <si>
    <t>alcaldia@nuevagranada-magdalena.gov.co</t>
  </si>
  <si>
    <t>tesoreria@pedraza-magdalena.gov.co</t>
  </si>
  <si>
    <t>contactenos@pijinodelcarmen-magdalena.gov.co</t>
  </si>
  <si>
    <t>tesoreria@pivijay-magdalena.gov.co</t>
  </si>
  <si>
    <t>alcaldia@plato-magdalena.gov.co</t>
  </si>
  <si>
    <t>joselina670@hotmail.com</t>
  </si>
  <si>
    <t>manuelperezguardo@hotmail.com</t>
  </si>
  <si>
    <t>contabilidad@sabanasdesanangel-magdalena.gov.co</t>
  </si>
  <si>
    <t>alcaldia@salamina-magdalena.gov.co</t>
  </si>
  <si>
    <t>contactenos@sansebastiandebuenavista-magdalena.gov</t>
  </si>
  <si>
    <t>contactenos@sanzenon-magdalena.gov.co</t>
  </si>
  <si>
    <t>alcaldia@santaana-magdalena.gov.co</t>
  </si>
  <si>
    <t>hacienda@santabarbaradepinto-magdalena.gov.co</t>
  </si>
  <si>
    <t>alcaldiasitionuevo@gmail.com</t>
  </si>
  <si>
    <t>alcaldia@tenerife-magdalena.gov.co</t>
  </si>
  <si>
    <t>alcaldia@zapayan-magdalena.gov.co</t>
  </si>
  <si>
    <t>contactenos@zonabananera-magdalena.gov.co</t>
  </si>
  <si>
    <t>alcaldia@acacias-meta.gov.co</t>
  </si>
  <si>
    <t>alcaldia@barrancadeupia-meta.gov.co</t>
  </si>
  <si>
    <t>maosan_2306@hotmail.com</t>
  </si>
  <si>
    <t>alcaldiampal@castillalanueva.gov.co</t>
  </si>
  <si>
    <t>jitucho@hotmail.com</t>
  </si>
  <si>
    <t>alcaldia@cumaral-meta.gov.co</t>
  </si>
  <si>
    <t>harveytorresl@gmail.com</t>
  </si>
  <si>
    <t>alcaldia@elcastillo-meta.gov.co</t>
  </si>
  <si>
    <t>alcaldia@eldorado-meta.gov.co</t>
  </si>
  <si>
    <t>hacienda@fuentedeoro-meta.gov.co</t>
  </si>
  <si>
    <t>tesoreriagranadameta@hotmail.com</t>
  </si>
  <si>
    <t>alcaldia@guamal-meta.gov.co</t>
  </si>
  <si>
    <t>mapirifinanciero@hotmail.com</t>
  </si>
  <si>
    <t>despachoalcalde@mesetas-meta.gov.co</t>
  </si>
  <si>
    <t>alcaldia@lamacarena-meta.gov.co</t>
  </si>
  <si>
    <t>edeca6@hotmail.com</t>
  </si>
  <si>
    <t>oficinaharvey@hotmail.com</t>
  </si>
  <si>
    <t>shacienda@puertoconcordia-meta.gov.co</t>
  </si>
  <si>
    <t>haciendapuertogaitan@yahoo.com</t>
  </si>
  <si>
    <t>contaduria@puertolopez-meta.gov.co</t>
  </si>
  <si>
    <t>webpuertolleras@yahoo.es</t>
  </si>
  <si>
    <t>hacienda@puertorico-meta.gov.co</t>
  </si>
  <si>
    <t>alcaldia@restrepo-meta.gov.co</t>
  </si>
  <si>
    <t>contabilidad@sancarlosdeguaroa-meta.gov.co</t>
  </si>
  <si>
    <t>sanjuanarama@yahoo.es</t>
  </si>
  <si>
    <t>contadoraalcaldia@hotmail.com</t>
  </si>
  <si>
    <t>contabilidad@sanmartin-meta.gov.co</t>
  </si>
  <si>
    <t>tesoreria@vistahermosa-meta.gov.co</t>
  </si>
  <si>
    <t>contabyron@hotmail.com</t>
  </si>
  <si>
    <t>alcaldiadealdan@gmail.com</t>
  </si>
  <si>
    <t>lemusa07@gmail.com</t>
  </si>
  <si>
    <t>juanzu0713@gmail.com</t>
  </si>
  <si>
    <t>alcaldia@barbacoas-narino.gov.co</t>
  </si>
  <si>
    <t>alcaldia@belen-narino.gov.co</t>
  </si>
  <si>
    <t>wilsonhpabonl@gmail.com</t>
  </si>
  <si>
    <t>dianagomez72@yahoo.es</t>
  </si>
  <si>
    <t>elkinimbacuan@yahoo.es</t>
  </si>
  <si>
    <t>benavidessotelo@hotmail.com</t>
  </si>
  <si>
    <t>alcaldiacuaspud@yahoo.es</t>
  </si>
  <si>
    <t>alcaldia@cumbal-narino.gov.co</t>
  </si>
  <si>
    <t>rauldiaztrujillo@hotmail.com</t>
  </si>
  <si>
    <t>alcaldia@chachagui-nariño.gov.co</t>
  </si>
  <si>
    <t>majaesqu@gmail.com</t>
  </si>
  <si>
    <t>alcaldia@elpenol-narino.gov.co</t>
  </si>
  <si>
    <t>yolandagg1981@hotmail.com</t>
  </si>
  <si>
    <t>yenyordoez@hotmail.com</t>
  </si>
  <si>
    <t>fabiolatobar@hotmail.com</t>
  </si>
  <si>
    <t>alcaldia@funes-narino.gov.co</t>
  </si>
  <si>
    <t>alcaldiaguachucal@gmail.com</t>
  </si>
  <si>
    <t>maloguevy@hotmail.com</t>
  </si>
  <si>
    <t>alcgualmatan@yahoo.es</t>
  </si>
  <si>
    <t>contabilidadiles@gmail.com</t>
  </si>
  <si>
    <t>contabilidad@ipiales-narino.gov.co</t>
  </si>
  <si>
    <t>dorispantoja10@hotmail.com</t>
  </si>
  <si>
    <t>rhidalgo.rh@hotmail.com</t>
  </si>
  <si>
    <t>lilis.11@hotmail.com</t>
  </si>
  <si>
    <t>armenia.jas@hotmail.com</t>
  </si>
  <si>
    <t>alcaldia@launion-narino.gov.co</t>
  </si>
  <si>
    <t>contactenos@leiva-narino.gov.co</t>
  </si>
  <si>
    <t>alcaldia@linares-narino.gov.co</t>
  </si>
  <si>
    <t>munlosandes@gmail.com</t>
  </si>
  <si>
    <t>municipiodemagui2013@gmail.com</t>
  </si>
  <si>
    <t>alcaldia@mallama-nariño.gov.co</t>
  </si>
  <si>
    <t>mariofer-04@hotmail.com</t>
  </si>
  <si>
    <t>contacto@narino-narino.gov.co</t>
  </si>
  <si>
    <t>contactenos@olayaherrera-narino.gov.co</t>
  </si>
  <si>
    <t>alcaldiafranciscopizarro@yahoo.es</t>
  </si>
  <si>
    <t>alcaldiadepolicarpa@yahoo.com</t>
  </si>
  <si>
    <t>contactenos@potosi-narino.gov.co</t>
  </si>
  <si>
    <t>contactenos@providencia-narino.gov.co</t>
  </si>
  <si>
    <t>alcaldia@puerres-narino.gov.co</t>
  </si>
  <si>
    <t>alcaldia@pupiales-narino.gov.co</t>
  </si>
  <si>
    <t>alcaldia@ricaurte-narino.gov.co</t>
  </si>
  <si>
    <t>marcelabuck1994@hotmail.com</t>
  </si>
  <si>
    <t>alcaldiasamaniego@hotmail.com</t>
  </si>
  <si>
    <t>alcaldia@sandona_narino.gov.co</t>
  </si>
  <si>
    <t>contactenos@sanlorenzo-narino.gov.co</t>
  </si>
  <si>
    <t>contactenos@sanpedrodecartago-narino.gov.co</t>
  </si>
  <si>
    <t>contactenos@santabarbara-narino.gov.co</t>
  </si>
  <si>
    <t>contabilidad@santacruz-narino.gov.co</t>
  </si>
  <si>
    <t>sapuyesnario@yahoo.es</t>
  </si>
  <si>
    <t>contactenos@taminango-narino.gov.co</t>
  </si>
  <si>
    <t>alcaldia@tangua-narino.gov.co</t>
  </si>
  <si>
    <t>contabilidad@tuquerres-narino.gov.co</t>
  </si>
  <si>
    <t>contactenos@yacuanquer-narino.gov.co</t>
  </si>
  <si>
    <t>mairameneses0903@gmail.com</t>
  </si>
  <si>
    <t>mpcioarboledas@hotmail.com</t>
  </si>
  <si>
    <t>tesoreriabochalema2012.2015@gmail.com</t>
  </si>
  <si>
    <t>alcaldiacacota@yahoo.es</t>
  </si>
  <si>
    <t>cafr07@gmail.com</t>
  </si>
  <si>
    <t>luisjcarvajalprofe@hotmail.com</t>
  </si>
  <si>
    <t>convencion@hotmail.com</t>
  </si>
  <si>
    <t>cirocontreras13@gmail.com</t>
  </si>
  <si>
    <t>marlon_duran_a@walla.com</t>
  </si>
  <si>
    <t>anaarias55@hotmail.com</t>
  </si>
  <si>
    <t>contactenos@eltarra-nortedesantander.gov.co</t>
  </si>
  <si>
    <t>alcaldia@elzulia-nortedesantander.gov.co</t>
  </si>
  <si>
    <t>alcaldiagramalotens@hotmail.com</t>
  </si>
  <si>
    <t>cmireyarh@hotmail.com</t>
  </si>
  <si>
    <t>mpcioherran@hotmail.com</t>
  </si>
  <si>
    <t>contactenos@labateca-nortedesantander.gov.co</t>
  </si>
  <si>
    <t>municipiolaesperanza@hotmail.com</t>
  </si>
  <si>
    <t>alcaldia@laplayadebelen-nortedesantander.gov.co</t>
  </si>
  <si>
    <t>alcaldia@lourdes-nortedesantander.gov.co</t>
  </si>
  <si>
    <t>alcadia@mutiscua-nortedesantander.gov.co</t>
  </si>
  <si>
    <t>contactenos@ocana-nortedesantander.gov.co</t>
  </si>
  <si>
    <t>bwilches@hotmail.com</t>
  </si>
  <si>
    <t>alcaldia@pamplonita-nortedesantander.gov.co</t>
  </si>
  <si>
    <t>alcaldia@puertosantander-nortedesantander.gov.co</t>
  </si>
  <si>
    <t>alcaldia@ragonvalia-nortedesantander.gov.co</t>
  </si>
  <si>
    <t>sancalixto15@hotmail.com</t>
  </si>
  <si>
    <t>tesoreriasancayetano13@hotmail.com</t>
  </si>
  <si>
    <t>alcaldia@santiago-nortedesantander.gov.co</t>
  </si>
  <si>
    <t>alcaldia@sardinata-nortedesantander.gov.co</t>
  </si>
  <si>
    <t>tiliza@hotmail.com</t>
  </si>
  <si>
    <t>alcaldiateorama@yahoo.es</t>
  </si>
  <si>
    <t>tesotibu@hotmail.com</t>
  </si>
  <si>
    <t>alctoledo@nortedesantander.gov.co</t>
  </si>
  <si>
    <t>alcaldiavillacaro@yahoo.es</t>
  </si>
  <si>
    <t>alcaldia@villadelrosario-nortedesantander.gov.co</t>
  </si>
  <si>
    <t>hacienda@buenavista-quindio.gov.co</t>
  </si>
  <si>
    <t>anaisabelcelis1017@yahoo.es</t>
  </si>
  <si>
    <t>alcaldia@circasia-quindio.gov.co</t>
  </si>
  <si>
    <t>alcaldia@cordoba-quindio.gov.co</t>
  </si>
  <si>
    <t>hacienda@filandia-quindio.gov.co</t>
  </si>
  <si>
    <t>alcaldia@genova-quindio.gov.co</t>
  </si>
  <si>
    <t>alcaldia@latebaida-quindio.gov.co</t>
  </si>
  <si>
    <t>contactenos@montenegro-quindio.gov.co</t>
  </si>
  <si>
    <t>alcaldia@pijao-quindio.gov.co</t>
  </si>
  <si>
    <t>muniquimbaya@hotmail.com</t>
  </si>
  <si>
    <t>alcaldia@salento-quindio.gov.co</t>
  </si>
  <si>
    <t>alcaldia@apia-risaralda.gov.co</t>
  </si>
  <si>
    <t>alcaldia@balboa-risaralda.gov.co</t>
  </si>
  <si>
    <t>alcaldia@belendeumbria-risaralda.gov.co</t>
  </si>
  <si>
    <t>contador@guatica-risaralda.gov.co</t>
  </si>
  <si>
    <t>alcaldia@lacelia-risaralda.gov.co</t>
  </si>
  <si>
    <t>despacho@lavirginia-risaralda.gov.co</t>
  </si>
  <si>
    <t>hacienda@marsella-risaralda.gov.co</t>
  </si>
  <si>
    <t>alcaldia@mistrato-risaralda.gov.co</t>
  </si>
  <si>
    <t>daiantoro@gmail.com</t>
  </si>
  <si>
    <t>alcaldia.quinchia@risaralda.gov.co</t>
  </si>
  <si>
    <t>saliconta@hotmail.com</t>
  </si>
  <si>
    <t>hacienda@santuario-risaralda.gov.co</t>
  </si>
  <si>
    <t>alcaldia@aguada-santander.gov.co</t>
  </si>
  <si>
    <t>alcaldia@albania-santander.gov.co</t>
  </si>
  <si>
    <t>lufesama@hotmail.com</t>
  </si>
  <si>
    <t>barbosa_santander@hotmail.com</t>
  </si>
  <si>
    <t>alcaldia@barichara-santander.gov.co</t>
  </si>
  <si>
    <t>cuadrosrodrigueznayi@yahoo.es</t>
  </si>
  <si>
    <t>municipiodebolivar@hotmail.com</t>
  </si>
  <si>
    <t>marcal0324@hotmail.com</t>
  </si>
  <si>
    <t>leidy.abril@hotmail.com</t>
  </si>
  <si>
    <t>contactenos@carcasi-santander.gov.co</t>
  </si>
  <si>
    <t>minb08@hotmail.com</t>
  </si>
  <si>
    <t>cerrito2012-2015@hotmail.com</t>
  </si>
  <si>
    <t>fabioleon1964@hotmail.com</t>
  </si>
  <si>
    <t>inglilianita@gmail.com</t>
  </si>
  <si>
    <t>contactenos@chipata-santander.gov.co</t>
  </si>
  <si>
    <t>secretariahacienda@cimitarra-santander.gov.co</t>
  </si>
  <si>
    <t>slcalderon_88@hotmail.com</t>
  </si>
  <si>
    <t>marcospradaconfines@hotmail.com</t>
  </si>
  <si>
    <t>alcaldiadecontratacion@hotmail.com</t>
  </si>
  <si>
    <t>alcaldia@coromoro-santander.gov.co</t>
  </si>
  <si>
    <t>tesoreriaguacamayo_2011@yahoo.es</t>
  </si>
  <si>
    <t>anayolandaortiz@yahoo.com</t>
  </si>
  <si>
    <t>municipioelplayon@hotmail.com</t>
  </si>
  <si>
    <t>asesorias_contables2002@hotmail.com</t>
  </si>
  <si>
    <t>alcaldia@enciso-santander.gov.co</t>
  </si>
  <si>
    <t>carmenotiliacuadros@yahoo.com</t>
  </si>
  <si>
    <t>municipiodegalan@yahoo.com</t>
  </si>
  <si>
    <t>ramon.gerardo.carvajal@gmail.com</t>
  </si>
  <si>
    <t>alcaldiaguaca@hotmail.com</t>
  </si>
  <si>
    <t>alguadalupe@hotmail.es</t>
  </si>
  <si>
    <t>addisoncar@hotmail.com</t>
  </si>
  <si>
    <t>bapayoma@hotmail.com</t>
  </si>
  <si>
    <t>gonzalezalba06@gmail.com</t>
  </si>
  <si>
    <t>alcaldia@hato-santander.gov.co</t>
  </si>
  <si>
    <t>alcaldia@jesusmaria.gov.co</t>
  </si>
  <si>
    <t>municipiojordan@hotmail.com</t>
  </si>
  <si>
    <t>hacienda@landazuri-santander.gov.co</t>
  </si>
  <si>
    <t>alcaldia@lapaz-santander.gov.co</t>
  </si>
  <si>
    <t>alcaldia@lebrija-santander.gov.co</t>
  </si>
  <si>
    <t>alcaldia@lossantos-santander.gov.co</t>
  </si>
  <si>
    <t>miguelarturoblancos@gmail.com</t>
  </si>
  <si>
    <t>alcaldia@malaga-santander.gov.co</t>
  </si>
  <si>
    <t>sprconta@hotmail.com</t>
  </si>
  <si>
    <t>contactenos@mogotes-santander.gov.co</t>
  </si>
  <si>
    <t>elarma10@gmail.com</t>
  </si>
  <si>
    <t>secretariageneral@oiba-santander.gov.co</t>
  </si>
  <si>
    <t>isauraplata@gmail.com</t>
  </si>
  <si>
    <t>alcaldia@palmar-santander.gov.co</t>
  </si>
  <si>
    <t>alcaldia@palmasdelsocorro-santander.gov.co</t>
  </si>
  <si>
    <t>tesoreria@paramo-santander.gov.co</t>
  </si>
  <si>
    <t>gonzalezalba06@yahoo.es</t>
  </si>
  <si>
    <t>hacienda_puentenal@yahoo.es</t>
  </si>
  <si>
    <t>daanmo23@hotmail.com</t>
  </si>
  <si>
    <t>asesorcontable@puertowilches-santander.gov.co</t>
  </si>
  <si>
    <t>secretariadehacienda_rionegro@hotmail.com</t>
  </si>
  <si>
    <t>contactenos@sabanadetorres-santander.gov.co</t>
  </si>
  <si>
    <t>alcaldia@sanandres-santander.gov.co</t>
  </si>
  <si>
    <t>alcaldia@sanbenito-santander.gov.co</t>
  </si>
  <si>
    <t>omaotesan@hotmail.com</t>
  </si>
  <si>
    <t>alcaldiasjmiranda@gmail.com</t>
  </si>
  <si>
    <t>noriegabaron2008@hotmail.com</t>
  </si>
  <si>
    <t>alcaldia@sanvicentdechucuri-santander.gov.co</t>
  </si>
  <si>
    <t>alcaldia@santabarbara-santander.gov.co</t>
  </si>
  <si>
    <t>clavijoalvaro@hotmail.com</t>
  </si>
  <si>
    <t>tesoreria@simacota-santander.gov.co</t>
  </si>
  <si>
    <t>alcaldia@socorro-santander.gov.co</t>
  </si>
  <si>
    <t>alcaldia@suaita-santander.gov.co</t>
  </si>
  <si>
    <t>alcaldia@sucre-santander.gov.co</t>
  </si>
  <si>
    <t>alcaldia@surata.gov.co</t>
  </si>
  <si>
    <t>tesorodetona@hotmail.com</t>
  </si>
  <si>
    <t>haciendavalle@hotmail.com</t>
  </si>
  <si>
    <t>livardu@gmail.com</t>
  </si>
  <si>
    <t>alcaldia@vetas-santander.gov.co</t>
  </si>
  <si>
    <t>tesoreria@villanueva-santander.gov.co</t>
  </si>
  <si>
    <t>alcaldia@buenavista-sucre.gov.co</t>
  </si>
  <si>
    <t>contacto@caimito-sucre.gov.co</t>
  </si>
  <si>
    <t>abertelc@yahoo.es</t>
  </si>
  <si>
    <t>contabilidad@corozal.gov.co</t>
  </si>
  <si>
    <t>fajaveflo@hotmail.com</t>
  </si>
  <si>
    <t>alcaldia@chalan-sucre.gov.co</t>
  </si>
  <si>
    <t>feveor3@hotmail.com</t>
  </si>
  <si>
    <t>alcaldiagaleras@gmail.com</t>
  </si>
  <si>
    <t>abertelc@hotmail.com</t>
  </si>
  <si>
    <t>marielismarsiglia@hotmail.com</t>
  </si>
  <si>
    <t>carlosadolfo14@yahoo.com</t>
  </si>
  <si>
    <t>buelvasromero@yahoo.es</t>
  </si>
  <si>
    <t>nev_2822@hotmail.com</t>
  </si>
  <si>
    <t>municipiodeovejas@hotmail.com</t>
  </si>
  <si>
    <t>alcaldiapalmitosucre@yahoo.es</t>
  </si>
  <si>
    <t>alcaldia@sampues-sucre.gov.co</t>
  </si>
  <si>
    <t>alcaldia@sanbenitoabad-sucre.gov.co</t>
  </si>
  <si>
    <t>contactenos@sanjuandebetulia-sucre.gov.co</t>
  </si>
  <si>
    <t>contactenos@sanmarcos-sucre.gov.co</t>
  </si>
  <si>
    <t>alcaldesanonofre@hotmail.com</t>
  </si>
  <si>
    <t>edwin690724@hotmail.com</t>
  </si>
  <si>
    <t>alcaldia@since-sucre.gov.co</t>
  </si>
  <si>
    <t>apoma1@hotmail.com</t>
  </si>
  <si>
    <t>edithsofia1@hotmail.co</t>
  </si>
  <si>
    <t>rajocar@hotmail.com</t>
  </si>
  <si>
    <t>alcaldia@alpujarra-tolima.gov.co</t>
  </si>
  <si>
    <t>hacienda@alvarado-tolima.gov.co</t>
  </si>
  <si>
    <t>alcaldiaambalema@yahoo.com</t>
  </si>
  <si>
    <t>gaqh1973@hotmail.com</t>
  </si>
  <si>
    <t>alcaldia@armeroguayabal-tolima.gov.co</t>
  </si>
  <si>
    <t>carolinaalcaldesa@gmail.com</t>
  </si>
  <si>
    <t>marthaherran@yahoo.com.co</t>
  </si>
  <si>
    <t>carmenapicala@hotmail.com</t>
  </si>
  <si>
    <t>alcaldia@casabianca-tolima.gov.co</t>
  </si>
  <si>
    <t>alcaldia@chaparral-tolima.gov.co</t>
  </si>
  <si>
    <t>contactenos@coello-tolima.gov.co</t>
  </si>
  <si>
    <t>despacho@coyaima-tolima.gov.co</t>
  </si>
  <si>
    <t>cegonta@gmail.com</t>
  </si>
  <si>
    <t>dolores2012-2015@dolores-tolima.gov.co</t>
  </si>
  <si>
    <t>calonso079@yahoo.es</t>
  </si>
  <si>
    <t>alcaldia@flandes-tolima.gov.co</t>
  </si>
  <si>
    <t>contactenos@fresno-tolima.gov.co</t>
  </si>
  <si>
    <t>alcaldia@elguamo-tolima.gov.co</t>
  </si>
  <si>
    <t>alcaldia@herveo-tolima.gov.co</t>
  </si>
  <si>
    <t>alcahonda@gmail.com</t>
  </si>
  <si>
    <t>alcaldiadeicononzo@yahoo.com</t>
  </si>
  <si>
    <t>secretariadehacienda@lerida-tolima.gov.co.</t>
  </si>
  <si>
    <t>secretaria_hacienda@libano-tolima.gov.co</t>
  </si>
  <si>
    <t>contabilidad@sansebastiandemariquita-tolima.gov.co</t>
  </si>
  <si>
    <t>contactenos@melgar-tolima.gov.co</t>
  </si>
  <si>
    <t>alcamurillotol@yahoo.es</t>
  </si>
  <si>
    <t>alcaldia@natagaima-tolima.gov.co</t>
  </si>
  <si>
    <t>secretariadehacienda@ortega-tolima.gov.co</t>
  </si>
  <si>
    <t>contactenos@palocabildo-tolima.gov.co</t>
  </si>
  <si>
    <t>luisfermoro@yahoo.es</t>
  </si>
  <si>
    <t>nereyda1008@yahoo.es</t>
  </si>
  <si>
    <t>tesoreriamunicipiodeprado@hotmail.com</t>
  </si>
  <si>
    <t>contactenos@purificacion-tolima.gov.co</t>
  </si>
  <si>
    <t>alcaldiarioblanco@hotmail.com</t>
  </si>
  <si>
    <t>alcaldia@roncesvalles-tolima.gov.co</t>
  </si>
  <si>
    <t>contabilidad@rovira-tolima.gov.co</t>
  </si>
  <si>
    <t>hacienda@saldana-tolima.gov.co</t>
  </si>
  <si>
    <t>tesoreria@sanantonio-tolima.gov.co</t>
  </si>
  <si>
    <t>alcaldia@sanluis-tolima.gov.co</t>
  </si>
  <si>
    <t>alcaldia@santaisabel-tolima.gov.co</t>
  </si>
  <si>
    <t>alcaldia@suarez-tolima.gov.co</t>
  </si>
  <si>
    <t>alcavsjt@hotmail.com</t>
  </si>
  <si>
    <t>alcaldia@venadillo-tolima.gov.co</t>
  </si>
  <si>
    <t>jblancogiraldo@yahoo.com</t>
  </si>
  <si>
    <t>alcaldiavillarrica@yahoo.es</t>
  </si>
  <si>
    <t>alcalde@alcala-valle.gov.co</t>
  </si>
  <si>
    <t>tesoreria@andalucia-valle.gov.co</t>
  </si>
  <si>
    <t>alcaldia@ansermanuevo-valle.gov.co</t>
  </si>
  <si>
    <t>contacto@argelia-valle.gov.co</t>
  </si>
  <si>
    <t>alcaldia@bolivar-valle.gov.co</t>
  </si>
  <si>
    <t>hacienda@bugalagrande-valle.gov.co</t>
  </si>
  <si>
    <t>alcaldia@caicedonia-valle.gov.co</t>
  </si>
  <si>
    <t>desarrollocalima@yahoo.com</t>
  </si>
  <si>
    <t>contacto@dagua-valle.gov.co</t>
  </si>
  <si>
    <t>claudialosaldana@yahoo.es</t>
  </si>
  <si>
    <t>alcaldia@elcairo-valle.gov.co</t>
  </si>
  <si>
    <t>contabilidad@elcerrito-valle.gov.co</t>
  </si>
  <si>
    <t>tesoreria@eldovio-valle.gov.co</t>
  </si>
  <si>
    <t>hacienda@florida-valle.gov.co</t>
  </si>
  <si>
    <t>contactenos@ginebra-valle.gov.co</t>
  </si>
  <si>
    <t>contactenos@guacari-valle.gov.co</t>
  </si>
  <si>
    <t>secretariageneral@jamundi-valle.gov.co</t>
  </si>
  <si>
    <t>angeljgu@hotmail.com</t>
  </si>
  <si>
    <t>alcaldia@launion-valle.gov.co</t>
  </si>
  <si>
    <t>financiera@lavictoria-valle.gov.co</t>
  </si>
  <si>
    <t>contactenos@obando-valle.gov.co</t>
  </si>
  <si>
    <t>hacienda@pradera-valle.gov.co</t>
  </si>
  <si>
    <t>hacienda@restrepo-valle.gov.co</t>
  </si>
  <si>
    <t>contactenos@riofrio-valle.gov.co</t>
  </si>
  <si>
    <t>despachoalcalde@roldanillo-valle.gov.co</t>
  </si>
  <si>
    <t>tesoreriasanpedro@hotmail.com</t>
  </si>
  <si>
    <t>alcaldia@sevilla-valle.gov.co</t>
  </si>
  <si>
    <t>alcaldia@toro-valle.gov.co</t>
  </si>
  <si>
    <t>hacienda@trujillo-valle.gov.co</t>
  </si>
  <si>
    <t>alcaldia@ulloa-valle.gov.co</t>
  </si>
  <si>
    <t>financiera@versalles.gov.co</t>
  </si>
  <si>
    <t>alcaldia@vijes-valle.gov.co</t>
  </si>
  <si>
    <t>hacienda@yotoco-valle.gov.co</t>
  </si>
  <si>
    <t>luis.hernandez@yumbo.gov.co</t>
  </si>
  <si>
    <t>alcaldia@zarzal-valle.gov.co</t>
  </si>
  <si>
    <t>contabilidad@arauca-arauca.gov.co</t>
  </si>
  <si>
    <t>hacienda@arauquita-arauca.gov.co</t>
  </si>
  <si>
    <t>alcaldia@cravonorte-arauca.gov.co</t>
  </si>
  <si>
    <t>alcaldia@fortul-arauca.gov.co</t>
  </si>
  <si>
    <t>alcaldiapuertorondon@hotmail.com</t>
  </si>
  <si>
    <t>alcaldia@saravena-arauca.gov.co</t>
  </si>
  <si>
    <t>hacienda@tame-arauca.gov.co</t>
  </si>
  <si>
    <t>contabilidad@yopal-casanare.gov.co</t>
  </si>
  <si>
    <t>hacienda_contabilidad@aguazul-casanare.gov.co</t>
  </si>
  <si>
    <t>hacienda@chameza-casanare.gov.co</t>
  </si>
  <si>
    <t>alcaldia@hatocorozal-casanare.gov.co</t>
  </si>
  <si>
    <t>alcaldia@lasalina-casanare.gov.co</t>
  </si>
  <si>
    <t>contactenos@mani-casanare.gov.co</t>
  </si>
  <si>
    <t>contanu@hotmail.com</t>
  </si>
  <si>
    <t>contador@nunchia-casanare.gov.co</t>
  </si>
  <si>
    <t>contactenos@orocue-casanare.gov.co</t>
  </si>
  <si>
    <t>alcaldia@pazdeariporo-casanare.gov.co</t>
  </si>
  <si>
    <t>hacienda@pore-casanare.gov.co</t>
  </si>
  <si>
    <t>tesoreria@recetor-casanare.gov.co</t>
  </si>
  <si>
    <t>alcaldia@sacama-casanare.gov.co</t>
  </si>
  <si>
    <t>hacienda@sanluisdepalenque-casanare.gov.co</t>
  </si>
  <si>
    <t>tesoreria@tamara-casanare.gov.co</t>
  </si>
  <si>
    <t>hacienda@tauramena-casanare.gov.co</t>
  </si>
  <si>
    <t>contacto@trinidad-casanare.gov.co</t>
  </si>
  <si>
    <t>tesoreria@villanueva-casanare.gov.co</t>
  </si>
  <si>
    <t>despachoalcalde@mocoa-putumayo.gov.co</t>
  </si>
  <si>
    <t>alcaldia@colon-putumayo.gov.co</t>
  </si>
  <si>
    <t>alcaldia@puertoasis-putumayo.gov.co</t>
  </si>
  <si>
    <t>alcaldia@puertocaicedo-putumayo.gov.co</t>
  </si>
  <si>
    <t>municipiopuertoguzman@yahoo.es</t>
  </si>
  <si>
    <t>financiera@sibundoy-putumayo.gov.co</t>
  </si>
  <si>
    <t>alcaldia@sanfrancisco-putumayo.gov.co</t>
  </si>
  <si>
    <t>contactenos@sanmiguel-putumayo.gov.co</t>
  </si>
  <si>
    <t>contadorsanfco@hotmail.com</t>
  </si>
  <si>
    <t>alcaldia@valledelguamuez-putumayo.gov.co</t>
  </si>
  <si>
    <t>despacho@villagarzon-putumayo.com.co</t>
  </si>
  <si>
    <t>contratacionpscislas@hotmail.com</t>
  </si>
  <si>
    <t>contactenos@puertonarino-amazonas.gov.co</t>
  </si>
  <si>
    <t>secrehacienda@inirida-guainia.gov.co</t>
  </si>
  <si>
    <t>hacienda@sanjosedelguaviare-guaviare.gov.co</t>
  </si>
  <si>
    <t>rigiga1326@gmail.com</t>
  </si>
  <si>
    <t>alcaldia@elretorno-guaviare.gov.co</t>
  </si>
  <si>
    <t>sec.hacienda@miraflores-guaviare.gov.co</t>
  </si>
  <si>
    <t>alcaldia@mituvaupes.gov.co</t>
  </si>
  <si>
    <t>harvey236@hotmail.com</t>
  </si>
  <si>
    <t>Juanca_roli@yahoo.es</t>
  </si>
  <si>
    <t>contactenos@puertocarreno-vichada.gov.co</t>
  </si>
  <si>
    <t>alcaldialaprimavera@yahoo.com</t>
  </si>
  <si>
    <t>contactenos@santarosalia-vichada.gov.co</t>
  </si>
  <si>
    <t>argenisgamba27@hotmail.com</t>
  </si>
  <si>
    <t>contactenos@tuchin-cordoba.gov.co</t>
  </si>
  <si>
    <t>alcaldia@popayan-cauca.gov.co</t>
  </si>
  <si>
    <t>carmen.gil@alcaldianeiva.gov.co</t>
  </si>
  <si>
    <t>secretariahaciendacapitanejo@hotmail.com</t>
  </si>
  <si>
    <t>alcaldia@purisima-cordoba.gov.co</t>
  </si>
  <si>
    <t>tesoreria@yondo-antioquia.gov.co</t>
  </si>
  <si>
    <t>tesoreria@orito-putumayo.gov.co</t>
  </si>
  <si>
    <t>ifragoso@barranquilla.gov.co</t>
  </si>
  <si>
    <t>contactenos@elespinal-tolima.gov.co</t>
  </si>
  <si>
    <t>Pensión y Cancelacion</t>
  </si>
  <si>
    <t xml:space="preserve">ylozano@bucaramanga.gov.co </t>
  </si>
  <si>
    <t xml:space="preserve">alcaldia@lospatios-nortedesantander.gov.co </t>
  </si>
  <si>
    <t xml:space="preserve"> alcaldia@sanjosedeure-cordoba.gov.co</t>
  </si>
  <si>
    <t>alcaldia@guachene-cauca.gov.co</t>
  </si>
  <si>
    <t>contacto@tausa-cundinamarca.gov.co</t>
  </si>
  <si>
    <t>contactenos@quebradanegra-cundinamarca.gov.co</t>
  </si>
  <si>
    <t>alcaldia@une-cundinamarca.gov.co</t>
  </si>
  <si>
    <t>contactenos@ubala-cundinamarca.gov.co</t>
  </si>
  <si>
    <t>contactenos@lapalma-cundinamarca.gov.co</t>
  </si>
  <si>
    <t>nomina@leticia-amazonas.gov.co</t>
  </si>
  <si>
    <t>contactenos@sanfrancisco-cundinamarca.gov.co</t>
  </si>
  <si>
    <t>secretariadehacienda@maicao-laguajira.gov.co</t>
  </si>
  <si>
    <t>contactenos@otanche-boyaca.gov.co</t>
  </si>
  <si>
    <t>contactenos@puertoleguizamo-putumayo.gov.co</t>
  </si>
  <si>
    <t>contacto@baraya-huila.gov.co</t>
  </si>
  <si>
    <t>contactenos@altamira-huila.gov.co</t>
  </si>
  <si>
    <t>contactenos@santafedeantioquia-antioquia.gov.co</t>
  </si>
  <si>
    <t>alcaldia@palestina-caldas.gov.co</t>
  </si>
  <si>
    <t> alcaldia@bucarasica-nortedesantander.gov.co</t>
  </si>
  <si>
    <t>contactenos@molagavita-santander.gov.co</t>
  </si>
  <si>
    <t>contactenos@sanpelayo-cordoba.gov.co</t>
  </si>
  <si>
    <t>germanr1969@gmail.com;lucymicha@hotmail.com</t>
  </si>
  <si>
    <t>contabilidad@hatonuevo-laguajira.gov.co</t>
  </si>
  <si>
    <t>despacho.gobernador@boyaca.gov.co;astridesco10@hotmail.com</t>
  </si>
  <si>
    <t>contabilidad@candelaria-valle.gov.co</t>
  </si>
  <si>
    <t>contabilidad@lacalera-cundinamarca.gov.co</t>
  </si>
  <si>
    <t>contabilidad@duitama-boyaca.gov.co</t>
  </si>
  <si>
    <t>contador@elcopey-cesar.gov.co</t>
  </si>
  <si>
    <t>DIFERENCIAS</t>
  </si>
  <si>
    <t>SALDO AUXILIAR 540818 SIIF</t>
  </si>
  <si>
    <t>TRANSFERENCIAS</t>
  </si>
  <si>
    <t>GRATUIDAD</t>
  </si>
  <si>
    <t>nticaldo@hotmail.com</t>
  </si>
  <si>
    <t>contabilidad@cajica.gov.co</t>
  </si>
  <si>
    <t>contador_sanvicente@hotmail.com</t>
  </si>
  <si>
    <t>haciendamunicipal@eltambo-cauca.gov.co</t>
  </si>
  <si>
    <t>hacienda@labelleza-santander.gov.co</t>
  </si>
  <si>
    <t>josefinarobayo@gmail.com</t>
  </si>
  <si>
    <t>dircontabilidad.villavicencio@gmail.com</t>
  </si>
  <si>
    <t>contabilidad@puertotejada-cauca.gov.co</t>
  </si>
  <si>
    <t>tesoreria@lamontanita-caqueta.gov.co</t>
  </si>
  <si>
    <t>alcaldia@apartado.gov.co</t>
  </si>
  <si>
    <t>yhernandez@valledelcauca.gov.co; ragomez@valledelcauca.gov.co</t>
  </si>
  <si>
    <t>bygasociados@yohoo.es</t>
  </si>
  <si>
    <t>SANTANDER DE QUILICHAO-CAUCA</t>
  </si>
  <si>
    <t>POPAYAN-CAUCA</t>
  </si>
  <si>
    <t>SAN BERNARDO DEL VIENTO-CORDOBA</t>
  </si>
  <si>
    <t>RIOSUCIO-CHOCO</t>
  </si>
  <si>
    <t>SAN JOSE DEL PALMAR-CHOCO</t>
  </si>
  <si>
    <t>BAJO BAUDO-CHOCO</t>
  </si>
  <si>
    <t>LITORAL DE SAN JUAN-CHOCO</t>
  </si>
  <si>
    <t>SAN JUAN DE RIO SECO-CUNDINAMARCA</t>
  </si>
  <si>
    <t>NARINO-CUNDINAMARCA</t>
  </si>
  <si>
    <t>VENECIA OSPINA PEREZ-CUNDINAMARCA</t>
  </si>
  <si>
    <t>SAN ANTONIO DE TEQUENDAMA-CUNDINAMARCA</t>
  </si>
  <si>
    <t>SAN JOSE DEL GUAVIARE-GUAVIARE</t>
  </si>
  <si>
    <t>SAN JUAN DEL CESAR-GUAJIRA</t>
  </si>
  <si>
    <t>LA JAGUA DEL PILAR-GUAJIRA</t>
  </si>
  <si>
    <t>PIJIÑO DEL CARMEN-MAGDALENA</t>
  </si>
  <si>
    <t>CERRO DE SAN ANTONIO-MAGDALENA</t>
  </si>
  <si>
    <t>SAN JUAN DE URABA-ANTIOQUIA</t>
  </si>
  <si>
    <t>SAN JOSE DE LA MONTANA-ANTIOQUIA</t>
  </si>
  <si>
    <t>SAN CARLOS DE GUAROA-META</t>
  </si>
  <si>
    <t>CASTILLA LA NUEVA-META</t>
  </si>
  <si>
    <t>COLON GENOVA-NARIÑO</t>
  </si>
  <si>
    <t>NARIÑO-NARIÑO</t>
  </si>
  <si>
    <t>VILLA DEL ROSARIO-NORTE DE SANTANDER</t>
  </si>
  <si>
    <t>VALLE DE SAN JOSE-SANTANDER</t>
  </si>
  <si>
    <t>EL CARMEN DE CHUCURI-SANTANDER</t>
  </si>
  <si>
    <t>SAN JOSE DE MIRANDA-SANTANDER</t>
  </si>
  <si>
    <t>SAN VICENTE DE CHUCURI-SANTANDER</t>
  </si>
  <si>
    <t>SAN LUIS DE SINCE-SUCRE</t>
  </si>
  <si>
    <t>SAN JUAN DE BETULIA-SUCRE</t>
  </si>
  <si>
    <t>SAN PEDRO DE LOS MILAGROS-SUCRE</t>
  </si>
  <si>
    <t>ARMENIA-QUINDIO</t>
  </si>
  <si>
    <t>BARRANCABERMEJA-SANTANDER</t>
  </si>
  <si>
    <t>BELLO-ANTIOQUIA</t>
  </si>
  <si>
    <t>PALMAR DE VARELA-ATLANTICO</t>
  </si>
  <si>
    <t>BUCARAMANGA-SANTANDER</t>
  </si>
  <si>
    <t>BUENAVENTURA-VALLE DEL CAUCA</t>
  </si>
  <si>
    <t>BUGA-VALLE DEL CAUCA</t>
  </si>
  <si>
    <t>CALI-VALLE DEL CAUCA</t>
  </si>
  <si>
    <t>CARTAGO-VALLE DEL CAUCA</t>
  </si>
  <si>
    <t>CIENAGA-MAGDALENA</t>
  </si>
  <si>
    <t>BOGOTA-DISTRITO CAPITAL</t>
  </si>
  <si>
    <t>DISTRITO TURISTICO DE CARTAGENA-BOLIVAR</t>
  </si>
  <si>
    <t>DISTRITO TURISTICO DE SANTA MARTA-MAGDALENA</t>
  </si>
  <si>
    <t>MUNICIPIO DE SAN JOSE DE CUCUTA-NORTE DE SANTANDER</t>
  </si>
  <si>
    <t>DOS QUEBRADAS-RISARALDA</t>
  </si>
  <si>
    <t>DUITAMA-BOYACA</t>
  </si>
  <si>
    <t>ENVIGADO-ANTIOQUIA</t>
  </si>
  <si>
    <t>SANTA ROSA DEL SUR-BOLIVAR</t>
  </si>
  <si>
    <t>SAN JUAN NEPOMUCENO-BOLIVAR</t>
  </si>
  <si>
    <t>SAN MARTIN DE LOBA-BOLIVAR</t>
  </si>
  <si>
    <t>SAN JACINTO-BOLIVAR</t>
  </si>
  <si>
    <t>ARROYOHONDO-BOLIVAR</t>
  </si>
  <si>
    <t>FLORENCIA-CAQUETA</t>
  </si>
  <si>
    <t>FLORIDABLANCA-SANTANDER</t>
  </si>
  <si>
    <t>FUSAGASUGA-CUNDINAMARCA</t>
  </si>
  <si>
    <t>GIRARDOT-CUNDINAMARCA</t>
  </si>
  <si>
    <t>GIRON-SANTANDER</t>
  </si>
  <si>
    <t>IBAGUE-TOLIMA</t>
  </si>
  <si>
    <t>ITAGUI-ANTIOQUIA</t>
  </si>
  <si>
    <t>LORICA-CORDOBA</t>
  </si>
  <si>
    <t>MAGANGUE-BOLIVAR</t>
  </si>
  <si>
    <t>MAICAO-GUAJIRA</t>
  </si>
  <si>
    <t>BRICEÑO-BOYACA</t>
  </si>
  <si>
    <t>SANTA ROSA DE VITERBO-BOYACA</t>
  </si>
  <si>
    <t>MANIZALES-CALDAS</t>
  </si>
  <si>
    <t>MEDELLIN-ANTIOQUIA</t>
  </si>
  <si>
    <t>MONTERIA-CORDOBA</t>
  </si>
  <si>
    <t>MUNICIPIO DE NEIVA-HUILA</t>
  </si>
  <si>
    <t>PALMIRA-VALLE DEL CAUCA</t>
  </si>
  <si>
    <t>PASTO-NARIÑO</t>
  </si>
  <si>
    <t>PEREIRA-RISARALDA</t>
  </si>
  <si>
    <t>SAHAGUN-CORDOBA</t>
  </si>
  <si>
    <t>SINCELEJO-SUCRE</t>
  </si>
  <si>
    <t>SOACHA-CUNDINAMARCA</t>
  </si>
  <si>
    <t>SOGAMOSO-BOYACA</t>
  </si>
  <si>
    <t>SOLEDAD-ATLANTICO</t>
  </si>
  <si>
    <t>TULUA-VALLE DEL CAUCA</t>
  </si>
  <si>
    <t>TUMACO-NARIÑO</t>
  </si>
  <si>
    <t>TUNJA-BOYACA</t>
  </si>
  <si>
    <t>TURBO-ANTIOQUIA</t>
  </si>
  <si>
    <t>VALLEDUPAR-CESAR</t>
  </si>
  <si>
    <t>VILLAVICENCIO-META</t>
  </si>
  <si>
    <t>DEPARTAMENTO DEL AMAZONAS-AMAZONAS</t>
  </si>
  <si>
    <t>LA MONTAÑITA-CAQUETA</t>
  </si>
  <si>
    <t>SAN JOSE DE FRAGUA-CAQUETA</t>
  </si>
  <si>
    <t>BELEN DE LOS ANDAQUIES-CAQUETA</t>
  </si>
  <si>
    <t>SAN VICENTE DEL CAGUAN-CAQUETA</t>
  </si>
  <si>
    <t>QUIBDO-CHOCO</t>
  </si>
  <si>
    <t>URIBIA-GUAJIRA</t>
  </si>
  <si>
    <t>SAN ANDRES DE SOTAVENTO-CORDOBA</t>
  </si>
  <si>
    <t>SAN JOSE DE URE-CORDOBA</t>
  </si>
  <si>
    <t>ALPUJARRA-TOLIMA</t>
  </si>
  <si>
    <t>ICONONZO-TOLIMA</t>
  </si>
  <si>
    <t>ALVARADO-TOLIMA</t>
  </si>
  <si>
    <t>AMBALEMA-TOLIMA</t>
  </si>
  <si>
    <t>ANZOATEGUI-TOLIMA</t>
  </si>
  <si>
    <t>ATACO-TOLIMA</t>
  </si>
  <si>
    <t>CAJAMARCA-TOLIMA</t>
  </si>
  <si>
    <t>CASABIANCA-TOLIMA</t>
  </si>
  <si>
    <t>CHAPARRAL-TOLIMA</t>
  </si>
  <si>
    <t>COELLO-TOLIMA</t>
  </si>
  <si>
    <t>COYAIMA-TOLIMA</t>
  </si>
  <si>
    <t>CUNDAY-TOLIMA</t>
  </si>
  <si>
    <t>DOLORES-TOLIMA</t>
  </si>
  <si>
    <t>ESPINAL-TOLIMA</t>
  </si>
  <si>
    <t>FALAN-TOLIMA</t>
  </si>
  <si>
    <t>FLANDES-TOLIMA</t>
  </si>
  <si>
    <t>FRESNO-TOLIMA</t>
  </si>
  <si>
    <t>GUAMO-TOLIMA</t>
  </si>
  <si>
    <t>GUAYABAL-TOLIMA</t>
  </si>
  <si>
    <t>HERVEO-TOLIMA</t>
  </si>
  <si>
    <t>HONDA-TOLIMA</t>
  </si>
  <si>
    <t>LERIDA-TOLIMA</t>
  </si>
  <si>
    <t>LIBANO-TOLIMA</t>
  </si>
  <si>
    <t>MARIQUITA-TOLIMA</t>
  </si>
  <si>
    <t>MELGAR-TOLIMA</t>
  </si>
  <si>
    <t>MURILLO-TOLIMA</t>
  </si>
  <si>
    <t>NATAGAIMA-TOLIMA</t>
  </si>
  <si>
    <t>ORTEGA-TOLIMA</t>
  </si>
  <si>
    <t>PALOCABILDO-TOLIMA</t>
  </si>
  <si>
    <t>PIEDRAS-TOLIMA</t>
  </si>
  <si>
    <t>PLANADAS-TOLIMA</t>
  </si>
  <si>
    <t>PRADO-TOLIMA</t>
  </si>
  <si>
    <t>RIOBLANCO-TOLIMA</t>
  </si>
  <si>
    <t>RONCESVALLES-TOLIMA</t>
  </si>
  <si>
    <t>SALDAÑA-TOLIMA</t>
  </si>
  <si>
    <t>SAN ANTONIO-TOLIMA</t>
  </si>
  <si>
    <t>SAN LUIS-TOLIMA</t>
  </si>
  <si>
    <t>SANTA ISABEL-TOLIMA</t>
  </si>
  <si>
    <t>SUAREZ-TOLIMA</t>
  </si>
  <si>
    <t>VALLE DE SAN JUAN-TOLIMA</t>
  </si>
  <si>
    <t>VENADILLO-TOLIMA</t>
  </si>
  <si>
    <t>VILLARRICA-TOLIMA</t>
  </si>
  <si>
    <t>PURIFICACION-TOLIMA</t>
  </si>
  <si>
    <t>VILLAHERMOSA-TOLIMA</t>
  </si>
  <si>
    <t>ROVIRA-TOLIMA</t>
  </si>
  <si>
    <t>CARMEN DE APICALA-TOLIMA</t>
  </si>
  <si>
    <t>contabilidad@ladorada-caldas.gov.co</t>
  </si>
  <si>
    <t>saldo debes ser igual ala columna DU, total 540818</t>
  </si>
  <si>
    <t>secretariadehacienda@sabanalarga-casanare.gov.co</t>
  </si>
  <si>
    <t>ivonne.salas@barrancabermeja.gov.co</t>
  </si>
  <si>
    <t xml:space="preserve"> </t>
  </si>
  <si>
    <t>contabilidad@cauca.gov.co</t>
  </si>
  <si>
    <t>CAUSACIONES CON NIT ENTES TERRITORIALES ENERO DEL 2018</t>
  </si>
  <si>
    <t>CAUSACIONES CON NIT DE FIDUCIAS ENERO DEL 2018</t>
  </si>
  <si>
    <t>CAUSACIONES CON NIT ENTES TERRITORIALES FEBRERO DEL 2018</t>
  </si>
  <si>
    <t>CAUSACIONES CON NIT DE FIDUCIAS FEBRERO DEL 2018</t>
  </si>
  <si>
    <t>libia.joven@cali.gov.co</t>
  </si>
  <si>
    <t>CAUSACIONES CON NIT ENTES TERRITORIALES MARZO DEL 2018</t>
  </si>
  <si>
    <t>CAUSACIONES CON NIT DE FIDUCIAS MARZO DEL 2018</t>
  </si>
  <si>
    <t>reciprocashacienda@cundinamarca.gov.co,</t>
  </si>
  <si>
    <t>Alexander.cardona@itagui.gov.co.</t>
  </si>
  <si>
    <t>hacienda@lavega-cauca.gov.co</t>
  </si>
  <si>
    <t>CAUSACIONES CON NIT ENTES TERRITORIALES ABRIL DEL 2018</t>
  </si>
  <si>
    <t>Prestación de Servicios Nómina</t>
  </si>
  <si>
    <t>Prestación de Servicos Otros Gastos</t>
  </si>
  <si>
    <t>CAUSACION CON NIT DE FICUCIAS ABRIL DEL 2018</t>
  </si>
  <si>
    <t>CAUSACIONES CON NIT ENTES TERRITORIALES MAYO DEL 2018</t>
  </si>
  <si>
    <t>CAUSACION CON NIT DE FICUCIAS MAYO DEL 2018</t>
  </si>
  <si>
    <t>Calidad MpioNoCert</t>
  </si>
  <si>
    <t>Anticipo Junio Prestación de Servicos Otos Gastos</t>
  </si>
  <si>
    <t>Mayo</t>
  </si>
  <si>
    <t>Causadas en Abnil y AnuladaS en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</si>
</sst>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([$€-2]* #,##0.00_);_([$€-2]* \(#,##0.00\);_([$€-2]* &quot;-&quot;??_)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scheme val="minor"/>
    </font>
    <font>
      <b/>
      <sz val="12"/>
      <name val="Arial"/>
      <family val="2"/>
    </font>
    <font>
      <u/>
      <sz val="12"/>
      <name val="Arial"/>
      <family val="2"/>
    </font>
    <font>
      <u/>
      <sz val="12"/>
      <color indexed="12"/>
      <name val="Arial"/>
      <family val="2"/>
    </font>
    <font>
      <u/>
      <sz val="11"/>
      <color indexed="12"/>
      <name val="Arial"/>
      <family val="2"/>
    </font>
    <font>
      <u/>
      <sz val="1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6" fontId="7" fillId="0" borderId="0" applyFont="0" applyFill="0" applyBorder="0" applyAlignment="0" applyProtection="0">
      <alignment wrapText="1"/>
    </xf>
    <xf numFmtId="164" fontId="7" fillId="0" borderId="0" applyFont="0" applyFill="0" applyBorder="0" applyAlignment="0" applyProtection="0"/>
    <xf numFmtId="0" fontId="7" fillId="0" borderId="0">
      <alignment wrapText="1"/>
    </xf>
    <xf numFmtId="0" fontId="7" fillId="0" borderId="0"/>
    <xf numFmtId="0" fontId="12" fillId="0" borderId="0"/>
    <xf numFmtId="0" fontId="12" fillId="0" borderId="0"/>
    <xf numFmtId="0" fontId="13" fillId="0" borderId="0"/>
    <xf numFmtId="43" fontId="1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92">
    <xf numFmtId="0" fontId="0" fillId="0" borderId="0" xfId="0"/>
    <xf numFmtId="1" fontId="0" fillId="0" borderId="1" xfId="1" applyNumberFormat="1" applyFont="1" applyFill="1" applyBorder="1" applyAlignment="1"/>
    <xf numFmtId="165" fontId="0" fillId="0" borderId="1" xfId="1" applyNumberFormat="1" applyFont="1" applyFill="1" applyBorder="1" applyAlignment="1"/>
    <xf numFmtId="165" fontId="0" fillId="0" borderId="1" xfId="1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horizontal="right"/>
    </xf>
    <xf numFmtId="0" fontId="0" fillId="0" borderId="0" xfId="0" applyFont="1" applyFill="1" applyAlignment="1" applyProtection="1">
      <alignment horizontal="center" vertical="center"/>
      <protection locked="0"/>
    </xf>
    <xf numFmtId="165" fontId="0" fillId="0" borderId="0" xfId="1" applyNumberFormat="1" applyFont="1" applyFill="1" applyAlignment="1"/>
    <xf numFmtId="3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3" fontId="9" fillId="6" borderId="1" xfId="0" applyNumberFormat="1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/>
    <xf numFmtId="1" fontId="0" fillId="0" borderId="0" xfId="0" applyNumberFormat="1" applyFont="1" applyFill="1" applyAlignment="1"/>
    <xf numFmtId="3" fontId="0" fillId="0" borderId="0" xfId="0" applyNumberFormat="1" applyFont="1" applyFill="1" applyAlignment="1"/>
    <xf numFmtId="1" fontId="0" fillId="0" borderId="1" xfId="0" applyNumberFormat="1" applyFont="1" applyFill="1" applyBorder="1" applyAlignment="1"/>
    <xf numFmtId="0" fontId="0" fillId="0" borderId="1" xfId="0" applyFont="1" applyFill="1" applyBorder="1" applyAlignment="1"/>
    <xf numFmtId="3" fontId="0" fillId="0" borderId="1" xfId="1" applyNumberFormat="1" applyFont="1" applyFill="1" applyBorder="1" applyAlignment="1"/>
    <xf numFmtId="165" fontId="0" fillId="0" borderId="1" xfId="0" applyNumberFormat="1" applyFont="1" applyFill="1" applyBorder="1" applyAlignment="1"/>
    <xf numFmtId="0" fontId="0" fillId="3" borderId="0" xfId="0" applyFont="1" applyFill="1" applyAlignment="1"/>
    <xf numFmtId="0" fontId="0" fillId="5" borderId="0" xfId="0" applyFont="1" applyFill="1" applyAlignment="1"/>
    <xf numFmtId="0" fontId="0" fillId="2" borderId="0" xfId="0" applyFont="1" applyFill="1" applyAlignment="1"/>
    <xf numFmtId="164" fontId="0" fillId="0" borderId="0" xfId="1" applyFont="1" applyFill="1" applyAlignment="1"/>
    <xf numFmtId="4" fontId="0" fillId="0" borderId="0" xfId="0" applyNumberFormat="1" applyFont="1" applyFill="1" applyAlignment="1"/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164" fontId="9" fillId="8" borderId="1" xfId="1" applyFont="1" applyFill="1" applyBorder="1" applyAlignment="1" applyProtection="1">
      <alignment horizontal="center" vertical="center"/>
      <protection locked="0"/>
    </xf>
    <xf numFmtId="4" fontId="0" fillId="0" borderId="0" xfId="1" applyNumberFormat="1" applyFont="1" applyFill="1" applyAlignment="1"/>
    <xf numFmtId="37" fontId="9" fillId="7" borderId="1" xfId="1" applyNumberFormat="1" applyFont="1" applyFill="1" applyBorder="1" applyAlignment="1"/>
    <xf numFmtId="37" fontId="0" fillId="0" borderId="1" xfId="1" applyNumberFormat="1" applyFont="1" applyFill="1" applyBorder="1" applyAlignment="1">
      <alignment horizontal="right"/>
    </xf>
    <xf numFmtId="4" fontId="0" fillId="0" borderId="1" xfId="1" applyNumberFormat="1" applyFont="1" applyFill="1" applyBorder="1" applyAlignment="1">
      <alignment horizontal="right"/>
    </xf>
    <xf numFmtId="37" fontId="0" fillId="4" borderId="1" xfId="0" applyNumberFormat="1" applyFont="1" applyFill="1" applyBorder="1" applyAlignment="1"/>
    <xf numFmtId="1" fontId="7" fillId="0" borderId="1" xfId="6" applyNumberFormat="1" applyFont="1" applyFill="1" applyBorder="1" applyAlignment="1">
      <alignment horizontal="right" vertical="center"/>
    </xf>
    <xf numFmtId="165" fontId="0" fillId="9" borderId="1" xfId="1" applyNumberFormat="1" applyFont="1" applyFill="1" applyBorder="1" applyAlignment="1"/>
    <xf numFmtId="0" fontId="0" fillId="9" borderId="0" xfId="0" applyFont="1" applyFill="1" applyAlignment="1"/>
    <xf numFmtId="3" fontId="0" fillId="0" borderId="1" xfId="0" applyNumberFormat="1" applyFont="1" applyFill="1" applyBorder="1" applyAlignment="1">
      <alignment horizontal="center"/>
    </xf>
    <xf numFmtId="3" fontId="0" fillId="9" borderId="1" xfId="1" applyNumberFormat="1" applyFont="1" applyFill="1" applyBorder="1" applyAlignment="1"/>
    <xf numFmtId="3" fontId="0" fillId="9" borderId="0" xfId="0" applyNumberFormat="1" applyFont="1" applyFill="1" applyAlignment="1"/>
    <xf numFmtId="165" fontId="0" fillId="0" borderId="1" xfId="0" applyNumberFormat="1" applyFont="1" applyFill="1" applyBorder="1" applyAlignment="1">
      <alignment horizontal="right"/>
    </xf>
    <xf numFmtId="37" fontId="0" fillId="0" borderId="0" xfId="0" applyNumberFormat="1" applyFont="1" applyFill="1" applyAlignment="1"/>
    <xf numFmtId="164" fontId="0" fillId="0" borderId="3" xfId="1" applyFont="1" applyBorder="1" applyAlignment="1">
      <alignment horizontal="left" wrapText="1"/>
    </xf>
    <xf numFmtId="0" fontId="14" fillId="0" borderId="0" xfId="0" applyFont="1" applyFill="1" applyAlignment="1">
      <alignment horizontal="left"/>
    </xf>
    <xf numFmtId="0" fontId="15" fillId="0" borderId="1" xfId="2" applyFont="1" applyFill="1" applyBorder="1" applyAlignment="1" applyProtection="1">
      <alignment horizontal="left"/>
    </xf>
    <xf numFmtId="0" fontId="15" fillId="0" borderId="1" xfId="2" applyFont="1" applyFill="1" applyBorder="1" applyAlignment="1" applyProtection="1"/>
    <xf numFmtId="37" fontId="0" fillId="0" borderId="1" xfId="0" applyNumberFormat="1" applyFont="1" applyFill="1" applyBorder="1" applyAlignment="1">
      <alignment horizontal="right"/>
    </xf>
    <xf numFmtId="3" fontId="0" fillId="9" borderId="1" xfId="0" applyNumberFormat="1" applyFont="1" applyFill="1" applyBorder="1" applyAlignment="1">
      <alignment horizontal="right"/>
    </xf>
    <xf numFmtId="165" fontId="0" fillId="9" borderId="1" xfId="0" applyNumberFormat="1" applyFont="1" applyFill="1" applyBorder="1" applyAlignment="1">
      <alignment horizontal="right"/>
    </xf>
    <xf numFmtId="37" fontId="9" fillId="7" borderId="1" xfId="1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" fontId="0" fillId="11" borderId="1" xfId="1" applyNumberFormat="1" applyFont="1" applyFill="1" applyBorder="1" applyAlignment="1"/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37" fontId="0" fillId="0" borderId="3" xfId="1" applyNumberFormat="1" applyFont="1" applyBorder="1" applyAlignment="1">
      <alignment horizontal="right" wrapText="1"/>
    </xf>
    <xf numFmtId="0" fontId="17" fillId="0" borderId="1" xfId="2" applyFont="1" applyFill="1" applyBorder="1" applyAlignment="1" applyProtection="1">
      <alignment horizontal="left"/>
    </xf>
    <xf numFmtId="0" fontId="18" fillId="0" borderId="1" xfId="2" applyFont="1" applyFill="1" applyBorder="1" applyAlignment="1" applyProtection="1">
      <alignment horizontal="left"/>
    </xf>
    <xf numFmtId="0" fontId="18" fillId="0" borderId="1" xfId="2" applyFont="1" applyFill="1" applyBorder="1" applyAlignment="1" applyProtection="1"/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1" fontId="0" fillId="10" borderId="1" xfId="1" applyNumberFormat="1" applyFont="1" applyFill="1" applyBorder="1" applyAlignment="1"/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0" fontId="16" fillId="0" borderId="1" xfId="2" applyFont="1" applyFill="1" applyBorder="1" applyAlignment="1" applyProtection="1">
      <alignment horizontal="left"/>
    </xf>
    <xf numFmtId="0" fontId="16" fillId="0" borderId="0" xfId="2" applyFont="1" applyFill="1" applyAlignment="1" applyProtection="1">
      <alignment wrapText="1"/>
    </xf>
    <xf numFmtId="0" fontId="8" fillId="0" borderId="1" xfId="2" applyFont="1" applyFill="1" applyBorder="1" applyAlignment="1" applyProtection="1">
      <alignment horizontal="left"/>
    </xf>
    <xf numFmtId="0" fontId="8" fillId="0" borderId="0" xfId="2" applyFont="1" applyFill="1" applyAlignment="1" applyProtection="1"/>
    <xf numFmtId="0" fontId="19" fillId="0" borderId="0" xfId="0" applyFont="1" applyFill="1" applyAlignment="1"/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165" fontId="20" fillId="0" borderId="1" xfId="0" applyNumberFormat="1" applyFont="1" applyFill="1" applyBorder="1" applyAlignment="1">
      <alignment horizontal="center"/>
    </xf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1" fontId="0" fillId="12" borderId="1" xfId="1" applyNumberFormat="1" applyFont="1" applyFill="1" applyBorder="1" applyAlignment="1"/>
    <xf numFmtId="3" fontId="9" fillId="0" borderId="0" xfId="0" applyNumberFormat="1" applyFont="1" applyFill="1" applyAlignment="1"/>
    <xf numFmtId="165" fontId="0" fillId="0" borderId="8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9" fillId="8" borderId="5" xfId="1" applyFont="1" applyFill="1" applyBorder="1" applyAlignment="1" applyProtection="1">
      <alignment horizontal="center" vertical="center" wrapText="1"/>
      <protection locked="0"/>
    </xf>
    <xf numFmtId="164" fontId="9" fillId="8" borderId="6" xfId="1" applyFont="1" applyFill="1" applyBorder="1" applyAlignment="1" applyProtection="1">
      <alignment horizontal="center" vertical="center" wrapText="1"/>
      <protection locked="0"/>
    </xf>
    <xf numFmtId="164" fontId="9" fillId="8" borderId="2" xfId="1" applyFont="1" applyFill="1" applyBorder="1" applyAlignment="1" applyProtection="1">
      <alignment horizontal="justify" vertical="center"/>
      <protection locked="0"/>
    </xf>
    <xf numFmtId="0" fontId="0" fillId="0" borderId="4" xfId="0" applyBorder="1" applyAlignment="1">
      <alignment horizontal="justify" vertical="center"/>
    </xf>
    <xf numFmtId="0" fontId="9" fillId="8" borderId="1" xfId="0" applyFont="1" applyFill="1" applyBorder="1" applyAlignment="1" applyProtection="1">
      <alignment horizontal="center" vertical="center"/>
      <protection locked="0"/>
    </xf>
    <xf numFmtId="0" fontId="9" fillId="8" borderId="1" xfId="0" applyFont="1" applyFill="1" applyBorder="1" applyAlignment="1" applyProtection="1">
      <alignment horizontal="right" vertical="center" wrapText="1"/>
      <protection locked="0"/>
    </xf>
    <xf numFmtId="37" fontId="9" fillId="8" borderId="1" xfId="1" applyNumberFormat="1" applyFont="1" applyFill="1" applyBorder="1" applyAlignment="1" applyProtection="1">
      <alignment horizontal="center" vertical="center"/>
      <protection locked="0"/>
    </xf>
    <xf numFmtId="3" fontId="9" fillId="6" borderId="1" xfId="0" applyNumberFormat="1" applyFont="1" applyFill="1" applyBorder="1" applyAlignment="1" applyProtection="1">
      <alignment horizontal="center" vertical="center"/>
      <protection locked="0"/>
    </xf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0" fontId="9" fillId="8" borderId="2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9" fillId="8" borderId="5" xfId="0" applyFont="1" applyFill="1" applyBorder="1" applyAlignment="1" applyProtection="1">
      <alignment horizontal="center" vertical="center"/>
      <protection locked="0"/>
    </xf>
    <xf numFmtId="0" fontId="9" fillId="8" borderId="7" xfId="0" applyFont="1" applyFill="1" applyBorder="1" applyAlignment="1" applyProtection="1">
      <alignment horizontal="center" vertical="center"/>
      <protection locked="0"/>
    </xf>
    <xf numFmtId="0" fontId="9" fillId="8" borderId="6" xfId="0" applyFont="1" applyFill="1" applyBorder="1" applyAlignment="1" applyProtection="1">
      <alignment horizontal="center" vertical="center"/>
      <protection locked="0"/>
    </xf>
    <xf numFmtId="164" fontId="9" fillId="8" borderId="7" xfId="1" applyFont="1" applyFill="1" applyBorder="1" applyAlignment="1" applyProtection="1">
      <alignment horizontal="center" vertical="center" wrapText="1"/>
      <protection locked="0"/>
    </xf>
    <xf numFmtId="165" fontId="9" fillId="7" borderId="1" xfId="1" applyNumberFormat="1" applyFont="1" applyFill="1" applyBorder="1" applyAlignment="1">
      <alignment horizontal="right"/>
    </xf>
    <xf numFmtId="165" fontId="9" fillId="7" borderId="2" xfId="1" applyNumberFormat="1" applyFont="1" applyFill="1" applyBorder="1" applyAlignment="1">
      <alignment horizontal="right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14" fillId="8" borderId="1" xfId="0" applyFont="1" applyFill="1" applyBorder="1" applyAlignment="1" applyProtection="1">
      <alignment horizontal="center" vertical="center" wrapText="1"/>
      <protection locked="0"/>
    </xf>
    <xf numFmtId="1" fontId="9" fillId="8" borderId="1" xfId="0" applyNumberFormat="1" applyFont="1" applyFill="1" applyBorder="1" applyAlignment="1" applyProtection="1">
      <alignment horizontal="center" vertical="center"/>
      <protection locked="0"/>
    </xf>
  </cellXfs>
  <cellStyles count="26">
    <cellStyle name="Euro" xfId="3" xr:uid="{00000000-0005-0000-0000-000000000000}"/>
    <cellStyle name="Hipervínculo" xfId="2" builtinId="8"/>
    <cellStyle name="Millares" xfId="1" builtinId="3"/>
    <cellStyle name="Millares 2" xfId="10" xr:uid="{00000000-0005-0000-0000-000004000000}"/>
    <cellStyle name="Millares 2 2" xfId="22" xr:uid="{00000000-0005-0000-0000-000005000000}"/>
    <cellStyle name="Millares 2 8" xfId="4" xr:uid="{00000000-0005-0000-0000-000006000000}"/>
    <cellStyle name="Millares 3" xfId="12" xr:uid="{00000000-0005-0000-0000-000007000000}"/>
    <cellStyle name="Millares 4" xfId="16" xr:uid="{00000000-0005-0000-0000-000008000000}"/>
    <cellStyle name="Millares 5" xfId="19" xr:uid="{00000000-0005-0000-0000-000009000000}"/>
    <cellStyle name="Millares 6" xfId="24" xr:uid="{00000000-0005-0000-0000-000045000000}"/>
    <cellStyle name="Moneda 2" xfId="13" xr:uid="{00000000-0005-0000-0000-00000A000000}"/>
    <cellStyle name="Moneda 3" xfId="15" xr:uid="{00000000-0005-0000-0000-00000B000000}"/>
    <cellStyle name="Moneda 4" xfId="18" xr:uid="{00000000-0005-0000-0000-00000C000000}"/>
    <cellStyle name="Normal" xfId="0" builtinId="0"/>
    <cellStyle name="Normal 2" xfId="5" xr:uid="{00000000-0005-0000-0000-00000E000000}"/>
    <cellStyle name="Normal 2 2" xfId="6" xr:uid="{00000000-0005-0000-0000-00000F000000}"/>
    <cellStyle name="Normal 2 2 2" xfId="7" xr:uid="{00000000-0005-0000-0000-000010000000}"/>
    <cellStyle name="Normal 2 3" xfId="21" xr:uid="{00000000-0005-0000-0000-000011000000}"/>
    <cellStyle name="Normal 2 4" xfId="25" xr:uid="{00000000-0005-0000-0000-00002F000000}"/>
    <cellStyle name="Normal 3" xfId="8" xr:uid="{00000000-0005-0000-0000-000012000000}"/>
    <cellStyle name="Normal 4" xfId="9" xr:uid="{00000000-0005-0000-0000-000013000000}"/>
    <cellStyle name="Normal 5" xfId="11" xr:uid="{00000000-0005-0000-0000-000014000000}"/>
    <cellStyle name="Normal 6" xfId="14" xr:uid="{00000000-0005-0000-0000-000015000000}"/>
    <cellStyle name="Normal 7" xfId="17" xr:uid="{00000000-0005-0000-0000-000016000000}"/>
    <cellStyle name="Normal 8" xfId="20" xr:uid="{00000000-0005-0000-0000-000017000000}"/>
    <cellStyle name="Normal 9" xfId="23" xr:uid="{00000000-0005-0000-0000-000046000000}"/>
  </cellStyles>
  <dxfs count="0"/>
  <tableStyles count="0" defaultTableStyle="TableStyleMedium2" defaultPivotStyle="PivotStyleLight16"/>
  <colors>
    <mruColors>
      <color rgb="FFFF00FF"/>
      <color rgb="FF99FF66"/>
      <color rgb="FF00FF00"/>
      <color rgb="FFFFCCFF"/>
      <color rgb="FF3333FF"/>
      <color rgb="FF00CC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bligaciones%20May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OneDrive%20-%20mineducacion.gov.co\Doc\CONTABILIDAD\2018\CUENTAS\Abril\540818001\Obligaciones%20Abri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18/Febrero/540818/SGP%20PAC-consolidado%20Febr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f"/>
      <sheetName val="Fidupre"/>
      <sheetName val="Gratuidad"/>
      <sheetName val="Hoja3"/>
    </sheetNames>
    <sheetDataSet>
      <sheetData sheetId="0"/>
      <sheetData sheetId="1"/>
      <sheetData sheetId="2"/>
      <sheetData sheetId="3">
        <row r="3">
          <cell r="J3">
            <v>800000681</v>
          </cell>
          <cell r="K3">
            <v>46329865</v>
          </cell>
        </row>
        <row r="4">
          <cell r="J4">
            <v>800004741</v>
          </cell>
          <cell r="K4">
            <v>387154206</v>
          </cell>
        </row>
        <row r="5">
          <cell r="J5">
            <v>800005292</v>
          </cell>
          <cell r="K5">
            <v>32881269</v>
          </cell>
        </row>
        <row r="6">
          <cell r="J6">
            <v>800006541</v>
          </cell>
          <cell r="K6">
            <v>16239937</v>
          </cell>
        </row>
        <row r="7">
          <cell r="J7">
            <v>800007652</v>
          </cell>
          <cell r="K7">
            <v>93343255</v>
          </cell>
        </row>
        <row r="8">
          <cell r="J8">
            <v>800008456</v>
          </cell>
          <cell r="K8">
            <v>27116767</v>
          </cell>
        </row>
        <row r="9">
          <cell r="J9">
            <v>800010350</v>
          </cell>
          <cell r="K9">
            <v>74933733</v>
          </cell>
        </row>
        <row r="10">
          <cell r="J10">
            <v>800012628</v>
          </cell>
          <cell r="K10">
            <v>29151559</v>
          </cell>
        </row>
        <row r="11">
          <cell r="J11">
            <v>800012631</v>
          </cell>
          <cell r="K11">
            <v>21512401</v>
          </cell>
        </row>
        <row r="12">
          <cell r="J12">
            <v>800012635</v>
          </cell>
          <cell r="K12">
            <v>81689489</v>
          </cell>
        </row>
        <row r="13">
          <cell r="J13">
            <v>800012638</v>
          </cell>
          <cell r="K13">
            <v>29807923</v>
          </cell>
        </row>
        <row r="14">
          <cell r="J14">
            <v>800012873</v>
          </cell>
          <cell r="K14">
            <v>97520742</v>
          </cell>
        </row>
        <row r="15">
          <cell r="J15">
            <v>800013237</v>
          </cell>
          <cell r="K15">
            <v>127312121</v>
          </cell>
        </row>
        <row r="16">
          <cell r="J16">
            <v>800013676</v>
          </cell>
          <cell r="K16">
            <v>518308558</v>
          </cell>
        </row>
        <row r="17">
          <cell r="J17">
            <v>800013683</v>
          </cell>
          <cell r="K17">
            <v>151290788</v>
          </cell>
        </row>
        <row r="18">
          <cell r="J18">
            <v>800015689</v>
          </cell>
          <cell r="K18">
            <v>209661015</v>
          </cell>
        </row>
        <row r="19">
          <cell r="J19">
            <v>800015991</v>
          </cell>
          <cell r="K19">
            <v>142909106</v>
          </cell>
        </row>
        <row r="20">
          <cell r="J20">
            <v>800016757</v>
          </cell>
          <cell r="K20">
            <v>247528810</v>
          </cell>
        </row>
        <row r="21">
          <cell r="J21">
            <v>800017022</v>
          </cell>
          <cell r="K21">
            <v>188411305</v>
          </cell>
        </row>
        <row r="22">
          <cell r="J22">
            <v>800017288</v>
          </cell>
          <cell r="K22">
            <v>24811259</v>
          </cell>
        </row>
        <row r="23">
          <cell r="J23">
            <v>800018650</v>
          </cell>
          <cell r="K23">
            <v>61034429</v>
          </cell>
        </row>
        <row r="24">
          <cell r="J24">
            <v>800019000</v>
          </cell>
          <cell r="K24">
            <v>94611224</v>
          </cell>
        </row>
        <row r="25">
          <cell r="J25">
            <v>800019111</v>
          </cell>
          <cell r="K25">
            <v>124291612</v>
          </cell>
        </row>
        <row r="26">
          <cell r="J26">
            <v>800019112</v>
          </cell>
          <cell r="K26">
            <v>138661719</v>
          </cell>
        </row>
        <row r="27">
          <cell r="J27">
            <v>800019218</v>
          </cell>
          <cell r="K27">
            <v>279141244</v>
          </cell>
        </row>
        <row r="28">
          <cell r="J28">
            <v>800019254</v>
          </cell>
          <cell r="K28">
            <v>40134952</v>
          </cell>
        </row>
        <row r="29">
          <cell r="J29">
            <v>800019709</v>
          </cell>
          <cell r="K29">
            <v>45231927</v>
          </cell>
        </row>
        <row r="30">
          <cell r="J30">
            <v>800019816</v>
          </cell>
          <cell r="K30">
            <v>98814747</v>
          </cell>
        </row>
        <row r="31">
          <cell r="J31">
            <v>800019846</v>
          </cell>
          <cell r="K31">
            <v>52056713</v>
          </cell>
        </row>
        <row r="32">
          <cell r="J32">
            <v>800020045</v>
          </cell>
          <cell r="K32">
            <v>51340504</v>
          </cell>
        </row>
        <row r="33">
          <cell r="J33">
            <v>800020324</v>
          </cell>
          <cell r="K33">
            <v>36864787</v>
          </cell>
        </row>
        <row r="34">
          <cell r="J34">
            <v>800022618</v>
          </cell>
          <cell r="K34">
            <v>52273659</v>
          </cell>
        </row>
        <row r="35">
          <cell r="J35">
            <v>800022791</v>
          </cell>
          <cell r="K35">
            <v>76522980</v>
          </cell>
        </row>
        <row r="36">
          <cell r="J36">
            <v>800024789</v>
          </cell>
          <cell r="K36">
            <v>19570531</v>
          </cell>
        </row>
        <row r="37">
          <cell r="J37">
            <v>800024977</v>
          </cell>
          <cell r="K37">
            <v>173024594</v>
          </cell>
        </row>
        <row r="38">
          <cell r="J38">
            <v>800025608</v>
          </cell>
          <cell r="K38">
            <v>196434484</v>
          </cell>
        </row>
        <row r="39">
          <cell r="J39">
            <v>800026368</v>
          </cell>
          <cell r="K39">
            <v>43928445</v>
          </cell>
        </row>
        <row r="40">
          <cell r="J40">
            <v>800026685</v>
          </cell>
          <cell r="K40">
            <v>484487408</v>
          </cell>
        </row>
        <row r="41">
          <cell r="J41">
            <v>800026911</v>
          </cell>
          <cell r="K41">
            <v>112777521</v>
          </cell>
        </row>
        <row r="42">
          <cell r="J42">
            <v>800027292</v>
          </cell>
          <cell r="K42">
            <v>87075345</v>
          </cell>
        </row>
        <row r="43">
          <cell r="J43">
            <v>800028393</v>
          </cell>
          <cell r="K43">
            <v>42103318</v>
          </cell>
        </row>
        <row r="44">
          <cell r="J44">
            <v>800028432</v>
          </cell>
          <cell r="K44">
            <v>292791519</v>
          </cell>
        </row>
        <row r="45">
          <cell r="J45">
            <v>800028461</v>
          </cell>
          <cell r="K45">
            <v>29334488</v>
          </cell>
        </row>
        <row r="46">
          <cell r="J46">
            <v>800028517</v>
          </cell>
          <cell r="K46">
            <v>153307564</v>
          </cell>
        </row>
        <row r="47">
          <cell r="J47">
            <v>800028576</v>
          </cell>
          <cell r="K47">
            <v>39589037</v>
          </cell>
        </row>
        <row r="48">
          <cell r="J48">
            <v>800029513</v>
          </cell>
          <cell r="K48">
            <v>36977590</v>
          </cell>
        </row>
        <row r="49">
          <cell r="J49">
            <v>800029660</v>
          </cell>
          <cell r="K49">
            <v>108156418</v>
          </cell>
        </row>
        <row r="50">
          <cell r="J50">
            <v>800029826</v>
          </cell>
          <cell r="K50">
            <v>42597415</v>
          </cell>
        </row>
        <row r="51">
          <cell r="J51">
            <v>800030988</v>
          </cell>
          <cell r="K51">
            <v>79067086</v>
          </cell>
        </row>
        <row r="52">
          <cell r="J52">
            <v>800031073</v>
          </cell>
          <cell r="K52">
            <v>43579693</v>
          </cell>
        </row>
        <row r="53">
          <cell r="J53">
            <v>800031075</v>
          </cell>
          <cell r="K53">
            <v>279998768</v>
          </cell>
        </row>
        <row r="54">
          <cell r="J54">
            <v>800031874</v>
          </cell>
          <cell r="K54">
            <v>40490014</v>
          </cell>
        </row>
        <row r="55">
          <cell r="J55">
            <v>800033062</v>
          </cell>
          <cell r="K55">
            <v>78183956</v>
          </cell>
        </row>
        <row r="56">
          <cell r="J56">
            <v>800034476</v>
          </cell>
          <cell r="K56">
            <v>78856077</v>
          </cell>
        </row>
        <row r="57">
          <cell r="J57">
            <v>800035482</v>
          </cell>
          <cell r="K57">
            <v>86353026</v>
          </cell>
        </row>
        <row r="58">
          <cell r="J58">
            <v>800037175</v>
          </cell>
          <cell r="K58">
            <v>445004036</v>
          </cell>
        </row>
        <row r="59">
          <cell r="J59">
            <v>800037371</v>
          </cell>
          <cell r="K59">
            <v>388190337</v>
          </cell>
        </row>
        <row r="60">
          <cell r="J60">
            <v>800039213</v>
          </cell>
          <cell r="K60">
            <v>48960403</v>
          </cell>
        </row>
        <row r="61">
          <cell r="J61">
            <v>800039803</v>
          </cell>
          <cell r="K61">
            <v>144451766</v>
          </cell>
        </row>
        <row r="62">
          <cell r="J62">
            <v>800042974</v>
          </cell>
          <cell r="K62">
            <v>349173651</v>
          </cell>
        </row>
        <row r="63">
          <cell r="J63">
            <v>800043486</v>
          </cell>
          <cell r="K63">
            <v>179939579</v>
          </cell>
        </row>
        <row r="64">
          <cell r="J64">
            <v>800044113</v>
          </cell>
          <cell r="K64">
            <v>111089020</v>
          </cell>
        </row>
        <row r="65">
          <cell r="J65">
            <v>800049017</v>
          </cell>
          <cell r="K65">
            <v>421673913</v>
          </cell>
        </row>
        <row r="66">
          <cell r="J66">
            <v>800049508</v>
          </cell>
          <cell r="K66">
            <v>44206296</v>
          </cell>
        </row>
        <row r="67">
          <cell r="J67">
            <v>800049826</v>
          </cell>
          <cell r="K67">
            <v>331009626</v>
          </cell>
        </row>
        <row r="68">
          <cell r="J68">
            <v>800050331</v>
          </cell>
          <cell r="K68">
            <v>233065584</v>
          </cell>
        </row>
        <row r="69">
          <cell r="J69">
            <v>800050407</v>
          </cell>
          <cell r="K69">
            <v>117449252</v>
          </cell>
        </row>
        <row r="70">
          <cell r="J70">
            <v>800050791</v>
          </cell>
          <cell r="K70">
            <v>28378697</v>
          </cell>
        </row>
        <row r="71">
          <cell r="J71">
            <v>800051167</v>
          </cell>
          <cell r="K71">
            <v>339158512</v>
          </cell>
        </row>
        <row r="72">
          <cell r="J72">
            <v>800051168</v>
          </cell>
          <cell r="K72">
            <v>189066276</v>
          </cell>
        </row>
        <row r="73">
          <cell r="J73">
            <v>800053552</v>
          </cell>
          <cell r="K73">
            <v>40913866</v>
          </cell>
        </row>
        <row r="74">
          <cell r="J74">
            <v>800054249</v>
          </cell>
          <cell r="K74">
            <v>357475854</v>
          </cell>
        </row>
        <row r="75">
          <cell r="J75">
            <v>800059405</v>
          </cell>
          <cell r="K75">
            <v>149160432</v>
          </cell>
        </row>
        <row r="76">
          <cell r="J76">
            <v>800061313</v>
          </cell>
          <cell r="K76">
            <v>319394570</v>
          </cell>
        </row>
        <row r="77">
          <cell r="J77">
            <v>800062255</v>
          </cell>
          <cell r="K77">
            <v>76433862</v>
          </cell>
        </row>
        <row r="78">
          <cell r="J78">
            <v>800063791</v>
          </cell>
          <cell r="K78">
            <v>89404472</v>
          </cell>
        </row>
        <row r="79">
          <cell r="J79">
            <v>800065411</v>
          </cell>
          <cell r="K79">
            <v>18229699</v>
          </cell>
        </row>
        <row r="80">
          <cell r="J80">
            <v>800066389</v>
          </cell>
          <cell r="K80">
            <v>23194870</v>
          </cell>
        </row>
        <row r="81">
          <cell r="J81">
            <v>800069901</v>
          </cell>
          <cell r="K81">
            <v>273507363</v>
          </cell>
        </row>
        <row r="82">
          <cell r="J82">
            <v>800070682</v>
          </cell>
          <cell r="K82">
            <v>458290083</v>
          </cell>
        </row>
        <row r="83">
          <cell r="J83">
            <v>800071934</v>
          </cell>
          <cell r="K83">
            <v>328735892</v>
          </cell>
        </row>
        <row r="84">
          <cell r="J84">
            <v>800074859</v>
          </cell>
          <cell r="K84">
            <v>60490923</v>
          </cell>
        </row>
        <row r="85">
          <cell r="J85">
            <v>800075537</v>
          </cell>
          <cell r="K85">
            <v>12838265</v>
          </cell>
        </row>
        <row r="86">
          <cell r="J86">
            <v>800077545</v>
          </cell>
          <cell r="K86">
            <v>220829202</v>
          </cell>
        </row>
        <row r="87">
          <cell r="J87">
            <v>800077808</v>
          </cell>
          <cell r="K87">
            <v>130148797</v>
          </cell>
        </row>
        <row r="88">
          <cell r="J88">
            <v>800079035</v>
          </cell>
          <cell r="K88">
            <v>137205623</v>
          </cell>
        </row>
        <row r="89">
          <cell r="J89">
            <v>800083233</v>
          </cell>
          <cell r="K89">
            <v>45002686</v>
          </cell>
        </row>
        <row r="90">
          <cell r="J90">
            <v>800084378</v>
          </cell>
          <cell r="K90">
            <v>579514872</v>
          </cell>
        </row>
        <row r="91">
          <cell r="J91">
            <v>800092788</v>
          </cell>
          <cell r="K91">
            <v>71514366</v>
          </cell>
        </row>
        <row r="92">
          <cell r="J92">
            <v>800094378</v>
          </cell>
          <cell r="K92">
            <v>117164688</v>
          </cell>
        </row>
        <row r="93">
          <cell r="J93">
            <v>800094386</v>
          </cell>
          <cell r="K93">
            <v>373787376</v>
          </cell>
        </row>
        <row r="94">
          <cell r="J94">
            <v>800094449</v>
          </cell>
          <cell r="K94">
            <v>122409936</v>
          </cell>
        </row>
        <row r="95">
          <cell r="J95">
            <v>800094457</v>
          </cell>
          <cell r="K95">
            <v>82360595</v>
          </cell>
        </row>
        <row r="96">
          <cell r="J96">
            <v>800094462</v>
          </cell>
          <cell r="K96">
            <v>409990608</v>
          </cell>
        </row>
        <row r="97">
          <cell r="J97">
            <v>800094466</v>
          </cell>
          <cell r="K97">
            <v>187374069</v>
          </cell>
        </row>
        <row r="98">
          <cell r="J98">
            <v>800095466</v>
          </cell>
          <cell r="K98">
            <v>839982284</v>
          </cell>
        </row>
        <row r="99">
          <cell r="J99">
            <v>800095514</v>
          </cell>
          <cell r="K99">
            <v>285140227</v>
          </cell>
        </row>
        <row r="100">
          <cell r="J100">
            <v>800095728</v>
          </cell>
          <cell r="K100">
            <v>278052895</v>
          </cell>
        </row>
        <row r="101">
          <cell r="J101">
            <v>800095734</v>
          </cell>
          <cell r="K101">
            <v>189491410</v>
          </cell>
        </row>
        <row r="102">
          <cell r="J102">
            <v>800095754</v>
          </cell>
          <cell r="K102">
            <v>201464621</v>
          </cell>
        </row>
        <row r="103">
          <cell r="J103">
            <v>800095757</v>
          </cell>
          <cell r="K103">
            <v>13061034</v>
          </cell>
        </row>
        <row r="104">
          <cell r="J104">
            <v>800095760</v>
          </cell>
          <cell r="K104">
            <v>73535549</v>
          </cell>
        </row>
        <row r="105">
          <cell r="J105">
            <v>800095763</v>
          </cell>
          <cell r="K105">
            <v>231011971</v>
          </cell>
        </row>
        <row r="106">
          <cell r="J106">
            <v>800095770</v>
          </cell>
          <cell r="K106">
            <v>35752080</v>
          </cell>
        </row>
        <row r="107">
          <cell r="J107">
            <v>800095775</v>
          </cell>
          <cell r="K107">
            <v>381427879</v>
          </cell>
        </row>
        <row r="108">
          <cell r="J108">
            <v>800095785</v>
          </cell>
          <cell r="K108">
            <v>534720422</v>
          </cell>
        </row>
        <row r="109">
          <cell r="J109">
            <v>800095786</v>
          </cell>
          <cell r="K109">
            <v>62811637</v>
          </cell>
        </row>
        <row r="110">
          <cell r="J110">
            <v>800095788</v>
          </cell>
          <cell r="K110">
            <v>41823330</v>
          </cell>
        </row>
        <row r="111">
          <cell r="J111">
            <v>800095961</v>
          </cell>
          <cell r="K111">
            <v>415720118</v>
          </cell>
        </row>
        <row r="112">
          <cell r="J112">
            <v>800095978</v>
          </cell>
          <cell r="K112">
            <v>146941093</v>
          </cell>
        </row>
        <row r="113">
          <cell r="J113">
            <v>800095980</v>
          </cell>
          <cell r="K113">
            <v>122000177</v>
          </cell>
        </row>
        <row r="114">
          <cell r="J114">
            <v>800095983</v>
          </cell>
          <cell r="K114">
            <v>40860058</v>
          </cell>
        </row>
        <row r="115">
          <cell r="J115">
            <v>800095986</v>
          </cell>
          <cell r="K115">
            <v>138980967</v>
          </cell>
        </row>
        <row r="116">
          <cell r="J116">
            <v>800096558</v>
          </cell>
          <cell r="K116">
            <v>827423507</v>
          </cell>
        </row>
        <row r="117">
          <cell r="J117">
            <v>800096561</v>
          </cell>
          <cell r="K117">
            <v>868492321</v>
          </cell>
        </row>
        <row r="118">
          <cell r="J118">
            <v>800096576</v>
          </cell>
          <cell r="K118">
            <v>397998522</v>
          </cell>
        </row>
        <row r="119">
          <cell r="J119">
            <v>800096585</v>
          </cell>
          <cell r="K119">
            <v>496028409</v>
          </cell>
        </row>
        <row r="120">
          <cell r="J120">
            <v>800096587</v>
          </cell>
          <cell r="K120">
            <v>452293057</v>
          </cell>
        </row>
        <row r="121">
          <cell r="J121">
            <v>800096592</v>
          </cell>
          <cell r="K121">
            <v>241293059</v>
          </cell>
        </row>
        <row r="122">
          <cell r="J122">
            <v>800096595</v>
          </cell>
          <cell r="K122">
            <v>24088847</v>
          </cell>
        </row>
        <row r="123">
          <cell r="J123">
            <v>800096597</v>
          </cell>
          <cell r="K123">
            <v>71416402</v>
          </cell>
        </row>
        <row r="124">
          <cell r="J124">
            <v>800096599</v>
          </cell>
          <cell r="K124">
            <v>263250909</v>
          </cell>
        </row>
        <row r="125">
          <cell r="J125">
            <v>800096605</v>
          </cell>
          <cell r="K125">
            <v>291908220</v>
          </cell>
        </row>
        <row r="126">
          <cell r="J126">
            <v>800096610</v>
          </cell>
          <cell r="K126">
            <v>18422494</v>
          </cell>
        </row>
        <row r="127">
          <cell r="J127">
            <v>800096613</v>
          </cell>
          <cell r="K127">
            <v>259144316</v>
          </cell>
        </row>
        <row r="128">
          <cell r="J128">
            <v>800096619</v>
          </cell>
          <cell r="K128">
            <v>341217894</v>
          </cell>
        </row>
        <row r="129">
          <cell r="J129">
            <v>800096623</v>
          </cell>
          <cell r="K129">
            <v>309188529</v>
          </cell>
        </row>
        <row r="130">
          <cell r="J130">
            <v>800096626</v>
          </cell>
          <cell r="K130">
            <v>268230529</v>
          </cell>
        </row>
        <row r="131">
          <cell r="J131">
            <v>800096744</v>
          </cell>
          <cell r="K131">
            <v>129661901</v>
          </cell>
        </row>
        <row r="132">
          <cell r="J132">
            <v>800096753</v>
          </cell>
          <cell r="K132">
            <v>109089339</v>
          </cell>
        </row>
        <row r="133">
          <cell r="J133">
            <v>800096766</v>
          </cell>
          <cell r="K133">
            <v>37941541</v>
          </cell>
        </row>
        <row r="134">
          <cell r="J134">
            <v>800096770</v>
          </cell>
          <cell r="K134">
            <v>52628329</v>
          </cell>
        </row>
        <row r="135">
          <cell r="J135">
            <v>800096777</v>
          </cell>
          <cell r="K135">
            <v>591306826</v>
          </cell>
        </row>
        <row r="136">
          <cell r="J136">
            <v>800096804</v>
          </cell>
          <cell r="K136">
            <v>40074503</v>
          </cell>
        </row>
        <row r="137">
          <cell r="J137">
            <v>800097098</v>
          </cell>
          <cell r="K137">
            <v>362951818</v>
          </cell>
        </row>
        <row r="138">
          <cell r="J138">
            <v>800097176</v>
          </cell>
          <cell r="K138">
            <v>163657290</v>
          </cell>
        </row>
        <row r="139">
          <cell r="J139">
            <v>800097180</v>
          </cell>
          <cell r="K139">
            <v>93372835</v>
          </cell>
        </row>
        <row r="140">
          <cell r="J140">
            <v>800098195</v>
          </cell>
          <cell r="K140">
            <v>106201255</v>
          </cell>
        </row>
        <row r="141">
          <cell r="J141">
            <v>800098203</v>
          </cell>
          <cell r="K141">
            <v>103255072</v>
          </cell>
        </row>
        <row r="142">
          <cell r="J142">
            <v>800098911</v>
          </cell>
          <cell r="K142">
            <v>653822899</v>
          </cell>
        </row>
        <row r="143">
          <cell r="J143">
            <v>800099054</v>
          </cell>
          <cell r="K143">
            <v>44158879</v>
          </cell>
        </row>
        <row r="144">
          <cell r="J144">
            <v>800099058</v>
          </cell>
          <cell r="K144">
            <v>102518105</v>
          </cell>
        </row>
        <row r="145">
          <cell r="J145">
            <v>800099061</v>
          </cell>
          <cell r="K145">
            <v>646037510</v>
          </cell>
        </row>
        <row r="146">
          <cell r="J146">
            <v>800099062</v>
          </cell>
          <cell r="K146">
            <v>237667146</v>
          </cell>
        </row>
        <row r="147">
          <cell r="J147">
            <v>800099066</v>
          </cell>
          <cell r="K147">
            <v>326386072</v>
          </cell>
        </row>
        <row r="148">
          <cell r="J148">
            <v>800099072</v>
          </cell>
          <cell r="K148">
            <v>49290569</v>
          </cell>
        </row>
        <row r="149">
          <cell r="J149">
            <v>800099076</v>
          </cell>
          <cell r="K149">
            <v>535490866</v>
          </cell>
        </row>
        <row r="150">
          <cell r="J150">
            <v>800099079</v>
          </cell>
          <cell r="K150">
            <v>40460291</v>
          </cell>
        </row>
        <row r="151">
          <cell r="J151">
            <v>800099084</v>
          </cell>
          <cell r="K151">
            <v>66158805</v>
          </cell>
        </row>
        <row r="152">
          <cell r="J152">
            <v>800099085</v>
          </cell>
          <cell r="K152">
            <v>118256632</v>
          </cell>
        </row>
        <row r="153">
          <cell r="J153">
            <v>800099089</v>
          </cell>
          <cell r="K153">
            <v>65723652</v>
          </cell>
        </row>
        <row r="154">
          <cell r="J154">
            <v>800099090</v>
          </cell>
          <cell r="K154">
            <v>80402667</v>
          </cell>
        </row>
        <row r="155">
          <cell r="J155">
            <v>800099092</v>
          </cell>
          <cell r="K155">
            <v>22149513</v>
          </cell>
        </row>
        <row r="156">
          <cell r="J156">
            <v>800099095</v>
          </cell>
          <cell r="K156">
            <v>132403876</v>
          </cell>
        </row>
        <row r="157">
          <cell r="J157">
            <v>800099098</v>
          </cell>
          <cell r="K157">
            <v>249881234</v>
          </cell>
        </row>
        <row r="158">
          <cell r="J158">
            <v>800099102</v>
          </cell>
          <cell r="K158">
            <v>186010858</v>
          </cell>
        </row>
        <row r="159">
          <cell r="J159">
            <v>800099105</v>
          </cell>
          <cell r="K159">
            <v>125289250</v>
          </cell>
        </row>
        <row r="160">
          <cell r="J160">
            <v>800099106</v>
          </cell>
          <cell r="K160">
            <v>197263000</v>
          </cell>
        </row>
        <row r="161">
          <cell r="J161">
            <v>800099108</v>
          </cell>
          <cell r="K161">
            <v>127259237</v>
          </cell>
        </row>
        <row r="162">
          <cell r="J162">
            <v>800099113</v>
          </cell>
          <cell r="K162">
            <v>518351795</v>
          </cell>
        </row>
        <row r="163">
          <cell r="J163">
            <v>800099118</v>
          </cell>
          <cell r="K163">
            <v>121824549</v>
          </cell>
        </row>
        <row r="164">
          <cell r="J164">
            <v>800099122</v>
          </cell>
          <cell r="K164">
            <v>183127700</v>
          </cell>
        </row>
        <row r="165">
          <cell r="J165">
            <v>800099127</v>
          </cell>
          <cell r="K165">
            <v>203200189</v>
          </cell>
        </row>
        <row r="166">
          <cell r="J166">
            <v>800099132</v>
          </cell>
          <cell r="K166">
            <v>286924608</v>
          </cell>
        </row>
        <row r="167">
          <cell r="J167">
            <v>800099136</v>
          </cell>
          <cell r="K167">
            <v>33785749</v>
          </cell>
        </row>
        <row r="168">
          <cell r="J168">
            <v>800099138</v>
          </cell>
          <cell r="K168">
            <v>177947386</v>
          </cell>
        </row>
        <row r="169">
          <cell r="J169">
            <v>800099142</v>
          </cell>
          <cell r="K169">
            <v>200465302</v>
          </cell>
        </row>
        <row r="170">
          <cell r="J170">
            <v>800099143</v>
          </cell>
          <cell r="K170">
            <v>189509068</v>
          </cell>
        </row>
        <row r="171">
          <cell r="J171">
            <v>800099147</v>
          </cell>
          <cell r="K171">
            <v>241302020</v>
          </cell>
        </row>
        <row r="172">
          <cell r="J172">
            <v>800099153</v>
          </cell>
          <cell r="K172">
            <v>83254660</v>
          </cell>
        </row>
        <row r="173">
          <cell r="J173">
            <v>800099187</v>
          </cell>
          <cell r="K173">
            <v>52747027</v>
          </cell>
        </row>
        <row r="174">
          <cell r="J174">
            <v>800099196</v>
          </cell>
          <cell r="K174">
            <v>100586290</v>
          </cell>
        </row>
        <row r="175">
          <cell r="J175">
            <v>800099199</v>
          </cell>
          <cell r="K175">
            <v>134506122</v>
          </cell>
        </row>
        <row r="176">
          <cell r="J176">
            <v>800099202</v>
          </cell>
          <cell r="K176">
            <v>52912807</v>
          </cell>
        </row>
        <row r="177">
          <cell r="J177">
            <v>800099206</v>
          </cell>
          <cell r="K177">
            <v>39983957</v>
          </cell>
        </row>
        <row r="178">
          <cell r="J178">
            <v>800099210</v>
          </cell>
          <cell r="K178">
            <v>118865226</v>
          </cell>
        </row>
        <row r="179">
          <cell r="J179">
            <v>800099234</v>
          </cell>
          <cell r="K179">
            <v>21832227</v>
          </cell>
        </row>
        <row r="180">
          <cell r="J180">
            <v>800099236</v>
          </cell>
          <cell r="K180">
            <v>271332955</v>
          </cell>
        </row>
        <row r="181">
          <cell r="J181">
            <v>800099237</v>
          </cell>
          <cell r="K181">
            <v>58003226</v>
          </cell>
        </row>
        <row r="182">
          <cell r="J182">
            <v>800099238</v>
          </cell>
          <cell r="K182">
            <v>113586625</v>
          </cell>
        </row>
        <row r="183">
          <cell r="J183">
            <v>800099251</v>
          </cell>
          <cell r="K183">
            <v>67278153</v>
          </cell>
        </row>
        <row r="184">
          <cell r="J184">
            <v>800099260</v>
          </cell>
          <cell r="K184">
            <v>46482468</v>
          </cell>
        </row>
        <row r="185">
          <cell r="J185">
            <v>800099262</v>
          </cell>
          <cell r="K185">
            <v>11046894</v>
          </cell>
        </row>
        <row r="186">
          <cell r="J186">
            <v>800099263</v>
          </cell>
          <cell r="K186">
            <v>199273741</v>
          </cell>
        </row>
        <row r="187">
          <cell r="J187">
            <v>800099310</v>
          </cell>
          <cell r="K187">
            <v>236890931</v>
          </cell>
        </row>
        <row r="188">
          <cell r="J188">
            <v>800099431</v>
          </cell>
          <cell r="K188">
            <v>12368548</v>
          </cell>
        </row>
        <row r="189">
          <cell r="J189">
            <v>800099441</v>
          </cell>
          <cell r="K189">
            <v>17252572</v>
          </cell>
        </row>
        <row r="190">
          <cell r="J190">
            <v>800099455</v>
          </cell>
          <cell r="K190">
            <v>41702603</v>
          </cell>
        </row>
        <row r="191">
          <cell r="J191">
            <v>800099489</v>
          </cell>
          <cell r="K191">
            <v>169711582</v>
          </cell>
        </row>
        <row r="192">
          <cell r="J192">
            <v>800099631</v>
          </cell>
          <cell r="K192">
            <v>115871514</v>
          </cell>
        </row>
        <row r="193">
          <cell r="J193">
            <v>800099635</v>
          </cell>
          <cell r="K193">
            <v>36086375</v>
          </cell>
        </row>
        <row r="194">
          <cell r="J194">
            <v>800099639</v>
          </cell>
          <cell r="K194">
            <v>22425385</v>
          </cell>
        </row>
        <row r="195">
          <cell r="J195">
            <v>800099642</v>
          </cell>
          <cell r="K195">
            <v>166919017</v>
          </cell>
        </row>
        <row r="196">
          <cell r="J196">
            <v>800099651</v>
          </cell>
          <cell r="K196">
            <v>41833288</v>
          </cell>
        </row>
        <row r="197">
          <cell r="J197">
            <v>800099662</v>
          </cell>
          <cell r="K197">
            <v>333082281</v>
          </cell>
        </row>
        <row r="198">
          <cell r="J198">
            <v>800099665</v>
          </cell>
          <cell r="K198">
            <v>31869552</v>
          </cell>
        </row>
        <row r="199">
          <cell r="J199">
            <v>800099691</v>
          </cell>
          <cell r="K199">
            <v>60923755</v>
          </cell>
        </row>
        <row r="200">
          <cell r="J200">
            <v>800099694</v>
          </cell>
          <cell r="K200">
            <v>29600446</v>
          </cell>
        </row>
        <row r="201">
          <cell r="J201">
            <v>800099714</v>
          </cell>
          <cell r="K201">
            <v>7530659</v>
          </cell>
        </row>
        <row r="202">
          <cell r="J202">
            <v>800099829</v>
          </cell>
          <cell r="K202">
            <v>72045508</v>
          </cell>
        </row>
        <row r="203">
          <cell r="J203">
            <v>800099832</v>
          </cell>
          <cell r="K203">
            <v>26437089</v>
          </cell>
        </row>
        <row r="204">
          <cell r="J204">
            <v>800100049</v>
          </cell>
          <cell r="K204">
            <v>416740904</v>
          </cell>
        </row>
        <row r="205">
          <cell r="J205">
            <v>800100051</v>
          </cell>
          <cell r="K205">
            <v>145421799</v>
          </cell>
        </row>
        <row r="206">
          <cell r="J206">
            <v>800100052</v>
          </cell>
          <cell r="K206">
            <v>80517913</v>
          </cell>
        </row>
        <row r="207">
          <cell r="J207">
            <v>800100054</v>
          </cell>
          <cell r="K207">
            <v>164866245</v>
          </cell>
        </row>
        <row r="208">
          <cell r="J208">
            <v>800100057</v>
          </cell>
          <cell r="K208">
            <v>67847156</v>
          </cell>
        </row>
        <row r="209">
          <cell r="J209">
            <v>800100059</v>
          </cell>
          <cell r="K209">
            <v>184289802</v>
          </cell>
        </row>
        <row r="210">
          <cell r="J210">
            <v>800100134</v>
          </cell>
          <cell r="K210">
            <v>228656975</v>
          </cell>
        </row>
        <row r="211">
          <cell r="J211">
            <v>800100136</v>
          </cell>
          <cell r="K211">
            <v>89724767</v>
          </cell>
        </row>
        <row r="212">
          <cell r="J212">
            <v>800100137</v>
          </cell>
          <cell r="K212">
            <v>535803896</v>
          </cell>
        </row>
        <row r="213">
          <cell r="J213">
            <v>800100138</v>
          </cell>
          <cell r="K213">
            <v>214434192</v>
          </cell>
        </row>
        <row r="214">
          <cell r="J214">
            <v>800100140</v>
          </cell>
          <cell r="K214">
            <v>105405750</v>
          </cell>
        </row>
        <row r="215">
          <cell r="J215">
            <v>800100141</v>
          </cell>
          <cell r="K215">
            <v>176541768</v>
          </cell>
        </row>
        <row r="216">
          <cell r="J216">
            <v>800100143</v>
          </cell>
          <cell r="K216">
            <v>50267030</v>
          </cell>
        </row>
        <row r="217">
          <cell r="J217">
            <v>800100144</v>
          </cell>
          <cell r="K217">
            <v>158550584</v>
          </cell>
        </row>
        <row r="218">
          <cell r="J218">
            <v>800100145</v>
          </cell>
          <cell r="K218">
            <v>110311112</v>
          </cell>
        </row>
        <row r="219">
          <cell r="J219">
            <v>800100147</v>
          </cell>
          <cell r="K219">
            <v>88327437</v>
          </cell>
        </row>
        <row r="220">
          <cell r="J220">
            <v>800100514</v>
          </cell>
          <cell r="K220">
            <v>306277589</v>
          </cell>
        </row>
        <row r="221">
          <cell r="J221">
            <v>800100518</v>
          </cell>
          <cell r="K221">
            <v>47402056</v>
          </cell>
        </row>
        <row r="222">
          <cell r="J222">
            <v>800100519</v>
          </cell>
          <cell r="K222">
            <v>79708514</v>
          </cell>
        </row>
        <row r="223">
          <cell r="J223">
            <v>800100521</v>
          </cell>
          <cell r="K223">
            <v>125758090</v>
          </cell>
        </row>
        <row r="224">
          <cell r="J224">
            <v>800100527</v>
          </cell>
          <cell r="K224">
            <v>386807411</v>
          </cell>
        </row>
        <row r="225">
          <cell r="J225">
            <v>800100529</v>
          </cell>
          <cell r="K225">
            <v>75458308</v>
          </cell>
        </row>
        <row r="226">
          <cell r="J226">
            <v>800100532</v>
          </cell>
          <cell r="K226">
            <v>41595426</v>
          </cell>
        </row>
        <row r="227">
          <cell r="J227">
            <v>800100533</v>
          </cell>
          <cell r="K227">
            <v>562242289</v>
          </cell>
        </row>
        <row r="228">
          <cell r="J228">
            <v>800100729</v>
          </cell>
          <cell r="K228">
            <v>411266447</v>
          </cell>
        </row>
        <row r="229">
          <cell r="J229">
            <v>800100747</v>
          </cell>
          <cell r="K229">
            <v>423216012</v>
          </cell>
        </row>
        <row r="230">
          <cell r="J230">
            <v>800100751</v>
          </cell>
          <cell r="K230">
            <v>355870404</v>
          </cell>
        </row>
        <row r="231">
          <cell r="J231">
            <v>800102798</v>
          </cell>
          <cell r="K231">
            <v>54401070</v>
          </cell>
        </row>
        <row r="232">
          <cell r="J232">
            <v>800102799</v>
          </cell>
          <cell r="K232">
            <v>821689166</v>
          </cell>
        </row>
        <row r="233">
          <cell r="J233">
            <v>800102801</v>
          </cell>
          <cell r="K233">
            <v>785550710</v>
          </cell>
        </row>
        <row r="234">
          <cell r="J234">
            <v>800102891</v>
          </cell>
          <cell r="K234">
            <v>155493061</v>
          </cell>
        </row>
        <row r="235">
          <cell r="J235">
            <v>800102896</v>
          </cell>
          <cell r="K235">
            <v>513946915</v>
          </cell>
        </row>
        <row r="236">
          <cell r="J236">
            <v>800102903</v>
          </cell>
          <cell r="K236">
            <v>61996194</v>
          </cell>
        </row>
        <row r="237">
          <cell r="J237">
            <v>800102912</v>
          </cell>
          <cell r="K237">
            <v>265940919</v>
          </cell>
        </row>
        <row r="238">
          <cell r="J238">
            <v>800103308</v>
          </cell>
          <cell r="K238">
            <v>180494443</v>
          </cell>
        </row>
        <row r="239">
          <cell r="J239">
            <v>800103318</v>
          </cell>
          <cell r="K239">
            <v>82524740</v>
          </cell>
        </row>
        <row r="240">
          <cell r="J240">
            <v>800104060</v>
          </cell>
          <cell r="K240">
            <v>69554959</v>
          </cell>
        </row>
        <row r="241">
          <cell r="J241">
            <v>800104062</v>
          </cell>
          <cell r="K241">
            <v>79514134</v>
          </cell>
        </row>
        <row r="242">
          <cell r="J242">
            <v>800108683</v>
          </cell>
          <cell r="K242">
            <v>638274061</v>
          </cell>
        </row>
        <row r="243">
          <cell r="J243">
            <v>800116284</v>
          </cell>
          <cell r="K243">
            <v>304976892</v>
          </cell>
        </row>
        <row r="244">
          <cell r="J244">
            <v>800117687</v>
          </cell>
          <cell r="K244">
            <v>284016236</v>
          </cell>
        </row>
        <row r="245">
          <cell r="J245">
            <v>800124166</v>
          </cell>
          <cell r="K245">
            <v>24993711</v>
          </cell>
        </row>
        <row r="246">
          <cell r="J246">
            <v>800131177</v>
          </cell>
          <cell r="K246">
            <v>36532003</v>
          </cell>
        </row>
        <row r="247">
          <cell r="J247">
            <v>800136069</v>
          </cell>
          <cell r="K247">
            <v>351771836</v>
          </cell>
        </row>
        <row r="248">
          <cell r="J248">
            <v>800138959</v>
          </cell>
          <cell r="K248">
            <v>185456787</v>
          </cell>
        </row>
        <row r="249">
          <cell r="J249">
            <v>800148720</v>
          </cell>
          <cell r="K249">
            <v>83502478</v>
          </cell>
        </row>
        <row r="250">
          <cell r="J250">
            <v>800188492</v>
          </cell>
          <cell r="K250">
            <v>10327540</v>
          </cell>
        </row>
        <row r="251">
          <cell r="J251">
            <v>800213967</v>
          </cell>
          <cell r="K251">
            <v>74629237</v>
          </cell>
        </row>
        <row r="252">
          <cell r="J252">
            <v>800222489</v>
          </cell>
          <cell r="K252">
            <v>264508568</v>
          </cell>
        </row>
        <row r="253">
          <cell r="J253">
            <v>800222498</v>
          </cell>
          <cell r="K253">
            <v>68504000</v>
          </cell>
        </row>
        <row r="254">
          <cell r="J254">
            <v>800222502</v>
          </cell>
          <cell r="K254">
            <v>161318029</v>
          </cell>
        </row>
        <row r="255">
          <cell r="J255">
            <v>800229887</v>
          </cell>
          <cell r="K255">
            <v>24243092</v>
          </cell>
        </row>
        <row r="256">
          <cell r="J256">
            <v>800245021</v>
          </cell>
          <cell r="K256">
            <v>138481388</v>
          </cell>
        </row>
        <row r="257">
          <cell r="J257">
            <v>800250853</v>
          </cell>
          <cell r="K257">
            <v>123377280</v>
          </cell>
        </row>
        <row r="258">
          <cell r="J258">
            <v>800252922</v>
          </cell>
          <cell r="K258">
            <v>165657126</v>
          </cell>
        </row>
        <row r="259">
          <cell r="J259">
            <v>800253526</v>
          </cell>
          <cell r="K259">
            <v>103286409</v>
          </cell>
        </row>
        <row r="260">
          <cell r="J260">
            <v>800254481</v>
          </cell>
          <cell r="K260">
            <v>106110504</v>
          </cell>
        </row>
        <row r="261">
          <cell r="J261">
            <v>800255213</v>
          </cell>
          <cell r="K261">
            <v>183667868</v>
          </cell>
        </row>
        <row r="262">
          <cell r="J262">
            <v>800255214</v>
          </cell>
          <cell r="K262">
            <v>60101071</v>
          </cell>
        </row>
        <row r="263">
          <cell r="J263">
            <v>806001274</v>
          </cell>
          <cell r="K263">
            <v>58239050</v>
          </cell>
        </row>
        <row r="264">
          <cell r="J264">
            <v>806001439</v>
          </cell>
          <cell r="K264">
            <v>31017050</v>
          </cell>
        </row>
        <row r="265">
          <cell r="J265">
            <v>806001937</v>
          </cell>
          <cell r="K265">
            <v>40495032</v>
          </cell>
        </row>
        <row r="266">
          <cell r="J266">
            <v>806004900</v>
          </cell>
          <cell r="K266">
            <v>134887792</v>
          </cell>
        </row>
        <row r="267">
          <cell r="J267">
            <v>809002637</v>
          </cell>
          <cell r="K267">
            <v>136144900</v>
          </cell>
        </row>
        <row r="268">
          <cell r="J268">
            <v>811009017</v>
          </cell>
          <cell r="K268">
            <v>33105453</v>
          </cell>
        </row>
        <row r="269">
          <cell r="J269">
            <v>812001675</v>
          </cell>
          <cell r="K269">
            <v>87755393</v>
          </cell>
        </row>
        <row r="270">
          <cell r="J270">
            <v>817002675</v>
          </cell>
          <cell r="K270">
            <v>124305869</v>
          </cell>
        </row>
        <row r="271">
          <cell r="J271">
            <v>819000985</v>
          </cell>
          <cell r="K271">
            <v>263940829</v>
          </cell>
        </row>
        <row r="272">
          <cell r="J272">
            <v>819003224</v>
          </cell>
          <cell r="K272">
            <v>363133031</v>
          </cell>
        </row>
        <row r="273">
          <cell r="J273">
            <v>819003225</v>
          </cell>
          <cell r="K273">
            <v>100306861</v>
          </cell>
        </row>
        <row r="274">
          <cell r="J274">
            <v>819003297</v>
          </cell>
          <cell r="K274">
            <v>1099946223</v>
          </cell>
        </row>
        <row r="275">
          <cell r="J275">
            <v>819003760</v>
          </cell>
          <cell r="K275">
            <v>177845799</v>
          </cell>
        </row>
        <row r="276">
          <cell r="J276">
            <v>823002595</v>
          </cell>
          <cell r="K276">
            <v>143235066</v>
          </cell>
        </row>
        <row r="277">
          <cell r="J277">
            <v>823003543</v>
          </cell>
          <cell r="K277">
            <v>97396083</v>
          </cell>
        </row>
        <row r="278">
          <cell r="J278">
            <v>824001624</v>
          </cell>
          <cell r="K278">
            <v>172717433</v>
          </cell>
        </row>
        <row r="279">
          <cell r="J279">
            <v>825000166</v>
          </cell>
          <cell r="K279">
            <v>9189553</v>
          </cell>
        </row>
        <row r="280">
          <cell r="J280">
            <v>825000676</v>
          </cell>
          <cell r="K280">
            <v>47772073</v>
          </cell>
        </row>
        <row r="281">
          <cell r="J281">
            <v>842000017</v>
          </cell>
          <cell r="K281">
            <v>461717015</v>
          </cell>
        </row>
        <row r="282">
          <cell r="J282">
            <v>860527046</v>
          </cell>
          <cell r="K282">
            <v>93543776</v>
          </cell>
        </row>
        <row r="283">
          <cell r="J283">
            <v>890000441</v>
          </cell>
          <cell r="K283">
            <v>170742574</v>
          </cell>
        </row>
        <row r="284">
          <cell r="J284">
            <v>890000464</v>
          </cell>
          <cell r="K284">
            <v>77077940</v>
          </cell>
        </row>
        <row r="285">
          <cell r="J285">
            <v>890000564</v>
          </cell>
          <cell r="K285">
            <v>118467833</v>
          </cell>
        </row>
        <row r="286">
          <cell r="J286">
            <v>890000858</v>
          </cell>
          <cell r="K286">
            <v>68765582</v>
          </cell>
        </row>
        <row r="287">
          <cell r="J287">
            <v>890001044</v>
          </cell>
          <cell r="K287">
            <v>318228701</v>
          </cell>
        </row>
        <row r="288">
          <cell r="J288">
            <v>890001061</v>
          </cell>
          <cell r="K288">
            <v>73717037</v>
          </cell>
        </row>
        <row r="289">
          <cell r="J289">
            <v>890001127</v>
          </cell>
          <cell r="K289">
            <v>87332014</v>
          </cell>
        </row>
        <row r="290">
          <cell r="J290">
            <v>890001181</v>
          </cell>
          <cell r="K290">
            <v>82792528</v>
          </cell>
        </row>
        <row r="291">
          <cell r="J291">
            <v>890001339</v>
          </cell>
          <cell r="K291">
            <v>100681050</v>
          </cell>
        </row>
        <row r="292">
          <cell r="J292">
            <v>890001879</v>
          </cell>
          <cell r="K292">
            <v>41945957</v>
          </cell>
        </row>
        <row r="293">
          <cell r="J293">
            <v>890072044</v>
          </cell>
          <cell r="K293">
            <v>109728709</v>
          </cell>
        </row>
        <row r="294">
          <cell r="J294">
            <v>890102018</v>
          </cell>
          <cell r="K294">
            <v>118791517</v>
          </cell>
        </row>
        <row r="295">
          <cell r="J295">
            <v>890103003</v>
          </cell>
          <cell r="K295">
            <v>384295832</v>
          </cell>
        </row>
        <row r="296">
          <cell r="J296">
            <v>890103962</v>
          </cell>
          <cell r="K296">
            <v>446374962</v>
          </cell>
        </row>
        <row r="297">
          <cell r="J297">
            <v>890106291</v>
          </cell>
          <cell r="K297">
            <v>275099035</v>
          </cell>
        </row>
        <row r="298">
          <cell r="J298">
            <v>890112371</v>
          </cell>
          <cell r="K298">
            <v>847224261</v>
          </cell>
        </row>
        <row r="299">
          <cell r="J299">
            <v>890115982</v>
          </cell>
          <cell r="K299">
            <v>102557394</v>
          </cell>
        </row>
        <row r="300">
          <cell r="J300">
            <v>890116159</v>
          </cell>
          <cell r="K300">
            <v>178410922</v>
          </cell>
        </row>
        <row r="301">
          <cell r="J301">
            <v>890116278</v>
          </cell>
          <cell r="K301">
            <v>131091076</v>
          </cell>
        </row>
        <row r="302">
          <cell r="J302">
            <v>890201190</v>
          </cell>
          <cell r="K302">
            <v>609354724</v>
          </cell>
        </row>
        <row r="303">
          <cell r="J303">
            <v>890203688</v>
          </cell>
          <cell r="K303">
            <v>183250926</v>
          </cell>
        </row>
        <row r="304">
          <cell r="J304">
            <v>890204138</v>
          </cell>
          <cell r="K304">
            <v>131468365</v>
          </cell>
        </row>
        <row r="305">
          <cell r="J305">
            <v>890204537</v>
          </cell>
          <cell r="K305">
            <v>142945770</v>
          </cell>
        </row>
        <row r="306">
          <cell r="J306">
            <v>890204643</v>
          </cell>
          <cell r="K306">
            <v>229609924</v>
          </cell>
        </row>
        <row r="307">
          <cell r="J307">
            <v>890204699</v>
          </cell>
          <cell r="K307">
            <v>27908081</v>
          </cell>
        </row>
        <row r="308">
          <cell r="J308">
            <v>890204802</v>
          </cell>
          <cell r="K308">
            <v>151364732</v>
          </cell>
        </row>
        <row r="309">
          <cell r="J309">
            <v>890205051</v>
          </cell>
          <cell r="K309">
            <v>41865431</v>
          </cell>
        </row>
        <row r="310">
          <cell r="J310">
            <v>890205058</v>
          </cell>
          <cell r="K310">
            <v>38014824</v>
          </cell>
        </row>
        <row r="311">
          <cell r="J311">
            <v>890205119</v>
          </cell>
          <cell r="K311">
            <v>75217651</v>
          </cell>
        </row>
        <row r="312">
          <cell r="J312">
            <v>890205124</v>
          </cell>
          <cell r="K312">
            <v>35875601</v>
          </cell>
        </row>
        <row r="313">
          <cell r="J313">
            <v>890205176</v>
          </cell>
          <cell r="K313">
            <v>892878036</v>
          </cell>
        </row>
        <row r="314">
          <cell r="J314">
            <v>890205308</v>
          </cell>
          <cell r="K314">
            <v>63364518</v>
          </cell>
        </row>
        <row r="315">
          <cell r="J315">
            <v>890205326</v>
          </cell>
          <cell r="K315">
            <v>29358957</v>
          </cell>
        </row>
        <row r="316">
          <cell r="J316">
            <v>890205334</v>
          </cell>
          <cell r="K316">
            <v>136634093</v>
          </cell>
        </row>
        <row r="317">
          <cell r="J317">
            <v>890205439</v>
          </cell>
          <cell r="K317">
            <v>29339859</v>
          </cell>
        </row>
        <row r="318">
          <cell r="J318">
            <v>890205581</v>
          </cell>
          <cell r="K318">
            <v>27277882</v>
          </cell>
        </row>
        <row r="319">
          <cell r="J319">
            <v>890205632</v>
          </cell>
          <cell r="K319">
            <v>174003120</v>
          </cell>
        </row>
        <row r="320">
          <cell r="J320">
            <v>890205973</v>
          </cell>
          <cell r="K320">
            <v>33029784</v>
          </cell>
        </row>
        <row r="321">
          <cell r="J321">
            <v>890206110</v>
          </cell>
          <cell r="K321">
            <v>537306927</v>
          </cell>
        </row>
        <row r="322">
          <cell r="J322">
            <v>890206250</v>
          </cell>
          <cell r="K322">
            <v>87595712</v>
          </cell>
        </row>
        <row r="323">
          <cell r="J323">
            <v>890206290</v>
          </cell>
          <cell r="K323">
            <v>35092485</v>
          </cell>
        </row>
        <row r="324">
          <cell r="J324">
            <v>890206722</v>
          </cell>
          <cell r="K324">
            <v>26235802</v>
          </cell>
        </row>
        <row r="325">
          <cell r="J325">
            <v>890207022</v>
          </cell>
          <cell r="K325">
            <v>65097972</v>
          </cell>
        </row>
        <row r="326">
          <cell r="J326">
            <v>890207790</v>
          </cell>
          <cell r="K326">
            <v>60866335</v>
          </cell>
        </row>
        <row r="327">
          <cell r="J327">
            <v>890208098</v>
          </cell>
          <cell r="K327">
            <v>59174324</v>
          </cell>
        </row>
        <row r="328">
          <cell r="J328">
            <v>890208119</v>
          </cell>
          <cell r="K328">
            <v>41250308</v>
          </cell>
        </row>
        <row r="329">
          <cell r="J329">
            <v>890208148</v>
          </cell>
          <cell r="K329">
            <v>52593474</v>
          </cell>
        </row>
        <row r="330">
          <cell r="J330">
            <v>890208360</v>
          </cell>
          <cell r="K330">
            <v>83651490</v>
          </cell>
        </row>
        <row r="331">
          <cell r="J331">
            <v>890208363</v>
          </cell>
          <cell r="K331">
            <v>15813138</v>
          </cell>
        </row>
        <row r="332">
          <cell r="J332">
            <v>890208676</v>
          </cell>
          <cell r="K332">
            <v>32792671</v>
          </cell>
        </row>
        <row r="333">
          <cell r="J333">
            <v>890208807</v>
          </cell>
          <cell r="K333">
            <v>154090801</v>
          </cell>
        </row>
        <row r="334">
          <cell r="J334">
            <v>890208947</v>
          </cell>
          <cell r="K334">
            <v>35539889</v>
          </cell>
        </row>
        <row r="335">
          <cell r="J335">
            <v>890209640</v>
          </cell>
          <cell r="K335">
            <v>87175645</v>
          </cell>
        </row>
        <row r="336">
          <cell r="J336">
            <v>890209889</v>
          </cell>
          <cell r="K336">
            <v>92371264</v>
          </cell>
        </row>
        <row r="337">
          <cell r="J337">
            <v>890210227</v>
          </cell>
          <cell r="K337">
            <v>19643415</v>
          </cell>
        </row>
        <row r="338">
          <cell r="J338">
            <v>890210438</v>
          </cell>
          <cell r="K338">
            <v>35685099</v>
          </cell>
        </row>
        <row r="339">
          <cell r="J339">
            <v>890210617</v>
          </cell>
          <cell r="K339">
            <v>106286840</v>
          </cell>
        </row>
        <row r="340">
          <cell r="J340">
            <v>890210704</v>
          </cell>
          <cell r="K340">
            <v>195830741</v>
          </cell>
        </row>
        <row r="341">
          <cell r="J341">
            <v>890210883</v>
          </cell>
          <cell r="K341">
            <v>102806712</v>
          </cell>
        </row>
        <row r="342">
          <cell r="J342">
            <v>890210890</v>
          </cell>
          <cell r="K342">
            <v>171928055</v>
          </cell>
        </row>
        <row r="343">
          <cell r="J343">
            <v>890210932</v>
          </cell>
          <cell r="K343">
            <v>105376446</v>
          </cell>
        </row>
        <row r="344">
          <cell r="J344">
            <v>890210945</v>
          </cell>
          <cell r="K344">
            <v>42845446</v>
          </cell>
        </row>
        <row r="345">
          <cell r="J345">
            <v>890210946</v>
          </cell>
          <cell r="K345">
            <v>49834189</v>
          </cell>
        </row>
        <row r="346">
          <cell r="J346">
            <v>890210947</v>
          </cell>
          <cell r="K346">
            <v>34360416</v>
          </cell>
        </row>
        <row r="347">
          <cell r="J347">
            <v>890210950</v>
          </cell>
          <cell r="K347">
            <v>35229974</v>
          </cell>
        </row>
        <row r="348">
          <cell r="J348">
            <v>890210951</v>
          </cell>
          <cell r="K348">
            <v>25153838</v>
          </cell>
        </row>
        <row r="349">
          <cell r="J349">
            <v>890270859</v>
          </cell>
          <cell r="K349">
            <v>444596369</v>
          </cell>
        </row>
        <row r="350">
          <cell r="J350">
            <v>890309611</v>
          </cell>
          <cell r="K350">
            <v>223741001</v>
          </cell>
        </row>
        <row r="351">
          <cell r="J351">
            <v>890399045</v>
          </cell>
          <cell r="K351">
            <v>134256843</v>
          </cell>
        </row>
        <row r="352">
          <cell r="J352">
            <v>890399046</v>
          </cell>
          <cell r="K352">
            <v>509159775</v>
          </cell>
        </row>
        <row r="353">
          <cell r="J353">
            <v>890480006</v>
          </cell>
          <cell r="K353">
            <v>333440823</v>
          </cell>
        </row>
        <row r="354">
          <cell r="J354">
            <v>890480069</v>
          </cell>
          <cell r="K354">
            <v>256754497</v>
          </cell>
        </row>
        <row r="355">
          <cell r="J355">
            <v>890480203</v>
          </cell>
          <cell r="K355">
            <v>201416403</v>
          </cell>
        </row>
        <row r="356">
          <cell r="J356">
            <v>890480254</v>
          </cell>
          <cell r="K356">
            <v>347613614</v>
          </cell>
        </row>
        <row r="357">
          <cell r="J357">
            <v>890480431</v>
          </cell>
          <cell r="K357">
            <v>78742057</v>
          </cell>
        </row>
        <row r="358">
          <cell r="J358">
            <v>890480643</v>
          </cell>
          <cell r="K358">
            <v>118392616</v>
          </cell>
        </row>
        <row r="359">
          <cell r="J359">
            <v>890481192</v>
          </cell>
          <cell r="K359">
            <v>143028556</v>
          </cell>
        </row>
        <row r="360">
          <cell r="J360">
            <v>890481295</v>
          </cell>
          <cell r="K360">
            <v>128855933</v>
          </cell>
        </row>
        <row r="361">
          <cell r="J361">
            <v>890481310</v>
          </cell>
          <cell r="K361">
            <v>152186664</v>
          </cell>
        </row>
        <row r="362">
          <cell r="J362">
            <v>890481343</v>
          </cell>
          <cell r="K362">
            <v>15499828</v>
          </cell>
        </row>
        <row r="363">
          <cell r="J363">
            <v>890481362</v>
          </cell>
          <cell r="K363">
            <v>448342459</v>
          </cell>
        </row>
        <row r="364">
          <cell r="J364">
            <v>890481447</v>
          </cell>
          <cell r="K364">
            <v>90860265</v>
          </cell>
        </row>
        <row r="365">
          <cell r="J365">
            <v>890501102</v>
          </cell>
          <cell r="K365">
            <v>732080624</v>
          </cell>
        </row>
        <row r="366">
          <cell r="J366">
            <v>890501362</v>
          </cell>
          <cell r="K366">
            <v>273082180</v>
          </cell>
        </row>
        <row r="367">
          <cell r="J367">
            <v>890501404</v>
          </cell>
          <cell r="K367">
            <v>68676914</v>
          </cell>
        </row>
        <row r="368">
          <cell r="J368">
            <v>890501422</v>
          </cell>
          <cell r="K368">
            <v>154679638</v>
          </cell>
        </row>
        <row r="369">
          <cell r="J369">
            <v>890501434</v>
          </cell>
          <cell r="K369">
            <v>1020131443</v>
          </cell>
        </row>
        <row r="370">
          <cell r="J370">
            <v>890501436</v>
          </cell>
          <cell r="K370">
            <v>140225220</v>
          </cell>
        </row>
        <row r="371">
          <cell r="J371">
            <v>890501549</v>
          </cell>
          <cell r="K371">
            <v>89025505</v>
          </cell>
        </row>
        <row r="372">
          <cell r="J372">
            <v>890501776</v>
          </cell>
          <cell r="K372">
            <v>107388518</v>
          </cell>
        </row>
        <row r="373">
          <cell r="J373">
            <v>890501981</v>
          </cell>
          <cell r="K373">
            <v>80962768</v>
          </cell>
        </row>
        <row r="374">
          <cell r="J374">
            <v>890502611</v>
          </cell>
          <cell r="K374">
            <v>55326276</v>
          </cell>
        </row>
        <row r="375">
          <cell r="J375">
            <v>890503106</v>
          </cell>
          <cell r="K375">
            <v>243011424</v>
          </cell>
        </row>
        <row r="376">
          <cell r="J376">
            <v>890503233</v>
          </cell>
          <cell r="K376">
            <v>63056318</v>
          </cell>
        </row>
        <row r="377">
          <cell r="J377">
            <v>890503483</v>
          </cell>
          <cell r="K377">
            <v>44841724</v>
          </cell>
        </row>
        <row r="378">
          <cell r="J378">
            <v>890503680</v>
          </cell>
          <cell r="K378">
            <v>82988126</v>
          </cell>
        </row>
        <row r="379">
          <cell r="J379">
            <v>890504612</v>
          </cell>
          <cell r="K379">
            <v>333954754</v>
          </cell>
        </row>
        <row r="380">
          <cell r="J380">
            <v>890505662</v>
          </cell>
          <cell r="K380">
            <v>105765204</v>
          </cell>
        </row>
        <row r="381">
          <cell r="J381">
            <v>890506116</v>
          </cell>
          <cell r="K381">
            <v>37665089</v>
          </cell>
        </row>
        <row r="382">
          <cell r="J382">
            <v>890506128</v>
          </cell>
          <cell r="K382">
            <v>67584600</v>
          </cell>
        </row>
        <row r="383">
          <cell r="J383">
            <v>890680162</v>
          </cell>
          <cell r="K383">
            <v>337849785</v>
          </cell>
        </row>
        <row r="384">
          <cell r="J384">
            <v>890700842</v>
          </cell>
          <cell r="K384">
            <v>157713075</v>
          </cell>
        </row>
        <row r="385">
          <cell r="J385">
            <v>890700859</v>
          </cell>
          <cell r="K385">
            <v>305175770</v>
          </cell>
        </row>
        <row r="386">
          <cell r="J386">
            <v>890700911</v>
          </cell>
          <cell r="K386">
            <v>114618688</v>
          </cell>
        </row>
        <row r="387">
          <cell r="J387">
            <v>890700942</v>
          </cell>
          <cell r="K387">
            <v>150284929</v>
          </cell>
        </row>
        <row r="388">
          <cell r="J388">
            <v>890700961</v>
          </cell>
          <cell r="K388">
            <v>123740417</v>
          </cell>
        </row>
        <row r="389">
          <cell r="J389">
            <v>890700978</v>
          </cell>
          <cell r="K389">
            <v>49181326</v>
          </cell>
        </row>
        <row r="390">
          <cell r="J390">
            <v>890700982</v>
          </cell>
          <cell r="K390">
            <v>177721282</v>
          </cell>
        </row>
        <row r="391">
          <cell r="J391">
            <v>890701077</v>
          </cell>
          <cell r="K391">
            <v>98660792</v>
          </cell>
        </row>
        <row r="392">
          <cell r="J392">
            <v>890702017</v>
          </cell>
          <cell r="K392">
            <v>73083783</v>
          </cell>
        </row>
        <row r="393">
          <cell r="J393">
            <v>890702018</v>
          </cell>
          <cell r="K393">
            <v>171448041</v>
          </cell>
        </row>
        <row r="394">
          <cell r="J394">
            <v>890702021</v>
          </cell>
          <cell r="K394">
            <v>106709090</v>
          </cell>
        </row>
        <row r="395">
          <cell r="J395">
            <v>890702023</v>
          </cell>
          <cell r="K395">
            <v>523410309</v>
          </cell>
        </row>
        <row r="396">
          <cell r="J396">
            <v>890702026</v>
          </cell>
          <cell r="K396">
            <v>131162223</v>
          </cell>
        </row>
        <row r="397">
          <cell r="J397">
            <v>890702027</v>
          </cell>
          <cell r="K397">
            <v>42532970</v>
          </cell>
        </row>
        <row r="398">
          <cell r="J398">
            <v>890702038</v>
          </cell>
          <cell r="K398">
            <v>136506266</v>
          </cell>
        </row>
        <row r="399">
          <cell r="J399">
            <v>890702040</v>
          </cell>
          <cell r="K399">
            <v>408298324</v>
          </cell>
        </row>
        <row r="400">
          <cell r="J400">
            <v>890801130</v>
          </cell>
          <cell r="K400">
            <v>257909118</v>
          </cell>
        </row>
        <row r="401">
          <cell r="J401">
            <v>890801131</v>
          </cell>
          <cell r="K401">
            <v>77548860</v>
          </cell>
        </row>
        <row r="402">
          <cell r="J402">
            <v>890801143</v>
          </cell>
          <cell r="K402">
            <v>87455560</v>
          </cell>
        </row>
        <row r="403">
          <cell r="J403">
            <v>890905211</v>
          </cell>
          <cell r="K403">
            <v>482470383</v>
          </cell>
        </row>
        <row r="404">
          <cell r="J404">
            <v>890907569</v>
          </cell>
          <cell r="K404">
            <v>352296021</v>
          </cell>
        </row>
        <row r="405">
          <cell r="J405">
            <v>890910913</v>
          </cell>
          <cell r="K405">
            <v>114170074</v>
          </cell>
        </row>
        <row r="406">
          <cell r="J406">
            <v>890920814</v>
          </cell>
          <cell r="K406">
            <v>195197066</v>
          </cell>
        </row>
        <row r="407">
          <cell r="J407">
            <v>890980094</v>
          </cell>
          <cell r="K407">
            <v>371537160</v>
          </cell>
        </row>
        <row r="408">
          <cell r="J408">
            <v>890980096</v>
          </cell>
          <cell r="K408">
            <v>268153906</v>
          </cell>
        </row>
        <row r="409">
          <cell r="J409">
            <v>890980112</v>
          </cell>
          <cell r="K409">
            <v>82077315</v>
          </cell>
        </row>
        <row r="410">
          <cell r="J410">
            <v>890980330</v>
          </cell>
          <cell r="K410">
            <v>93472896</v>
          </cell>
        </row>
        <row r="411">
          <cell r="J411">
            <v>890980447</v>
          </cell>
          <cell r="K411">
            <v>471966572</v>
          </cell>
        </row>
        <row r="412">
          <cell r="J412">
            <v>890980767</v>
          </cell>
          <cell r="K412">
            <v>345267665</v>
          </cell>
        </row>
        <row r="413">
          <cell r="J413">
            <v>890980781</v>
          </cell>
          <cell r="K413">
            <v>80758620</v>
          </cell>
        </row>
        <row r="414">
          <cell r="J414">
            <v>890980802</v>
          </cell>
          <cell r="K414">
            <v>132657968</v>
          </cell>
        </row>
        <row r="415">
          <cell r="J415">
            <v>890980807</v>
          </cell>
          <cell r="K415">
            <v>78969478</v>
          </cell>
        </row>
        <row r="416">
          <cell r="J416">
            <v>890980850</v>
          </cell>
          <cell r="K416">
            <v>297494773</v>
          </cell>
        </row>
        <row r="417">
          <cell r="J417">
            <v>890980917</v>
          </cell>
          <cell r="K417">
            <v>214314205</v>
          </cell>
        </row>
        <row r="418">
          <cell r="J418">
            <v>890980950</v>
          </cell>
          <cell r="K418">
            <v>326313901</v>
          </cell>
        </row>
        <row r="419">
          <cell r="J419">
            <v>890980958</v>
          </cell>
          <cell r="K419">
            <v>132891377</v>
          </cell>
        </row>
        <row r="420">
          <cell r="J420">
            <v>890980998</v>
          </cell>
          <cell r="K420">
            <v>355637368</v>
          </cell>
        </row>
        <row r="421">
          <cell r="J421">
            <v>890981000</v>
          </cell>
          <cell r="K421">
            <v>210304322</v>
          </cell>
        </row>
        <row r="422">
          <cell r="J422">
            <v>890981069</v>
          </cell>
          <cell r="K422">
            <v>121591286</v>
          </cell>
        </row>
        <row r="423">
          <cell r="J423">
            <v>890981080</v>
          </cell>
          <cell r="K423">
            <v>200743627</v>
          </cell>
        </row>
        <row r="424">
          <cell r="J424">
            <v>890981105</v>
          </cell>
          <cell r="K424">
            <v>99188885</v>
          </cell>
        </row>
        <row r="425">
          <cell r="J425">
            <v>890981106</v>
          </cell>
          <cell r="K425">
            <v>260075606</v>
          </cell>
        </row>
        <row r="426">
          <cell r="J426">
            <v>890981107</v>
          </cell>
          <cell r="K426">
            <v>49089568</v>
          </cell>
        </row>
        <row r="427">
          <cell r="J427">
            <v>890981115</v>
          </cell>
          <cell r="K427">
            <v>75997856</v>
          </cell>
        </row>
        <row r="428">
          <cell r="J428">
            <v>890981138</v>
          </cell>
          <cell r="K428">
            <v>92150650</v>
          </cell>
        </row>
        <row r="429">
          <cell r="J429">
            <v>890981150</v>
          </cell>
          <cell r="K429">
            <v>421679786</v>
          </cell>
        </row>
        <row r="430">
          <cell r="J430">
            <v>890981162</v>
          </cell>
          <cell r="K430">
            <v>87669867</v>
          </cell>
        </row>
        <row r="431">
          <cell r="J431">
            <v>890981207</v>
          </cell>
          <cell r="K431">
            <v>299454394</v>
          </cell>
        </row>
        <row r="432">
          <cell r="J432">
            <v>890981238</v>
          </cell>
          <cell r="K432">
            <v>66896464</v>
          </cell>
        </row>
        <row r="433">
          <cell r="J433">
            <v>890981367</v>
          </cell>
          <cell r="K433">
            <v>95982757</v>
          </cell>
        </row>
        <row r="434">
          <cell r="J434">
            <v>890981391</v>
          </cell>
          <cell r="K434">
            <v>502889898</v>
          </cell>
        </row>
        <row r="435">
          <cell r="J435">
            <v>890981493</v>
          </cell>
          <cell r="K435">
            <v>79880628</v>
          </cell>
        </row>
        <row r="436">
          <cell r="J436">
            <v>890981732</v>
          </cell>
          <cell r="K436">
            <v>300867198</v>
          </cell>
        </row>
        <row r="437">
          <cell r="J437">
            <v>890981786</v>
          </cell>
          <cell r="K437">
            <v>114474878</v>
          </cell>
        </row>
        <row r="438">
          <cell r="J438">
            <v>890981868</v>
          </cell>
          <cell r="K438">
            <v>103780690</v>
          </cell>
        </row>
        <row r="439">
          <cell r="J439">
            <v>890981880</v>
          </cell>
          <cell r="K439">
            <v>77255401</v>
          </cell>
        </row>
        <row r="440">
          <cell r="J440">
            <v>890982055</v>
          </cell>
          <cell r="K440">
            <v>365054837</v>
          </cell>
        </row>
        <row r="441">
          <cell r="J441">
            <v>890982123</v>
          </cell>
          <cell r="K441">
            <v>157453138</v>
          </cell>
        </row>
        <row r="442">
          <cell r="J442">
            <v>890982141</v>
          </cell>
          <cell r="K442">
            <v>155025868</v>
          </cell>
        </row>
        <row r="443">
          <cell r="J443">
            <v>890982147</v>
          </cell>
          <cell r="K443">
            <v>129878524</v>
          </cell>
        </row>
        <row r="444">
          <cell r="J444">
            <v>890982238</v>
          </cell>
          <cell r="K444">
            <v>221475872</v>
          </cell>
        </row>
        <row r="445">
          <cell r="J445">
            <v>890982278</v>
          </cell>
          <cell r="K445">
            <v>405350422</v>
          </cell>
        </row>
        <row r="446">
          <cell r="J446">
            <v>890982301</v>
          </cell>
          <cell r="K446">
            <v>126411338</v>
          </cell>
        </row>
        <row r="447">
          <cell r="J447">
            <v>890982321</v>
          </cell>
          <cell r="K447">
            <v>67534596</v>
          </cell>
        </row>
        <row r="448">
          <cell r="J448">
            <v>890982489</v>
          </cell>
          <cell r="K448">
            <v>238370014</v>
          </cell>
        </row>
        <row r="449">
          <cell r="J449">
            <v>890982494</v>
          </cell>
          <cell r="K449">
            <v>74707749</v>
          </cell>
        </row>
        <row r="450">
          <cell r="J450">
            <v>890982506</v>
          </cell>
          <cell r="K450">
            <v>250267807</v>
          </cell>
        </row>
        <row r="451">
          <cell r="J451">
            <v>890982566</v>
          </cell>
          <cell r="K451">
            <v>156049340</v>
          </cell>
        </row>
        <row r="452">
          <cell r="J452">
            <v>890982583</v>
          </cell>
          <cell r="K452">
            <v>78243604</v>
          </cell>
        </row>
        <row r="453">
          <cell r="J453">
            <v>890982616</v>
          </cell>
          <cell r="K453">
            <v>49914936</v>
          </cell>
        </row>
        <row r="454">
          <cell r="J454">
            <v>890983664</v>
          </cell>
          <cell r="K454">
            <v>162555251</v>
          </cell>
        </row>
        <row r="455">
          <cell r="J455">
            <v>890983672</v>
          </cell>
          <cell r="K455">
            <v>160909022</v>
          </cell>
        </row>
        <row r="456">
          <cell r="J456">
            <v>890983701</v>
          </cell>
          <cell r="K456">
            <v>44934229</v>
          </cell>
        </row>
        <row r="457">
          <cell r="J457">
            <v>890983706</v>
          </cell>
          <cell r="K457">
            <v>41002011</v>
          </cell>
        </row>
        <row r="458">
          <cell r="J458">
            <v>890983716</v>
          </cell>
          <cell r="K458">
            <v>261253989</v>
          </cell>
        </row>
        <row r="459">
          <cell r="J459">
            <v>890983718</v>
          </cell>
          <cell r="K459">
            <v>43289221</v>
          </cell>
        </row>
        <row r="460">
          <cell r="J460">
            <v>890983736</v>
          </cell>
          <cell r="K460">
            <v>130154951</v>
          </cell>
        </row>
        <row r="461">
          <cell r="J461">
            <v>890983740</v>
          </cell>
          <cell r="K461">
            <v>211518500</v>
          </cell>
        </row>
        <row r="462">
          <cell r="J462">
            <v>890983763</v>
          </cell>
          <cell r="K462">
            <v>45174517</v>
          </cell>
        </row>
        <row r="463">
          <cell r="J463">
            <v>890983786</v>
          </cell>
          <cell r="K463">
            <v>90787692</v>
          </cell>
        </row>
        <row r="464">
          <cell r="J464">
            <v>890983803</v>
          </cell>
          <cell r="K464">
            <v>212126486</v>
          </cell>
        </row>
        <row r="465">
          <cell r="J465">
            <v>890983808</v>
          </cell>
          <cell r="K465">
            <v>117767683</v>
          </cell>
        </row>
        <row r="466">
          <cell r="J466">
            <v>890983813</v>
          </cell>
          <cell r="K466">
            <v>263394022</v>
          </cell>
        </row>
        <row r="467">
          <cell r="J467">
            <v>890983814</v>
          </cell>
          <cell r="K467">
            <v>570585770</v>
          </cell>
        </row>
        <row r="468">
          <cell r="J468">
            <v>890983824</v>
          </cell>
          <cell r="K468">
            <v>97874861</v>
          </cell>
        </row>
        <row r="469">
          <cell r="J469">
            <v>890983830</v>
          </cell>
          <cell r="K469">
            <v>94236391</v>
          </cell>
        </row>
        <row r="470">
          <cell r="J470">
            <v>890983873</v>
          </cell>
          <cell r="K470">
            <v>987459059</v>
          </cell>
        </row>
        <row r="471">
          <cell r="J471">
            <v>890983906</v>
          </cell>
          <cell r="K471">
            <v>283786388</v>
          </cell>
        </row>
        <row r="472">
          <cell r="J472">
            <v>890983922</v>
          </cell>
          <cell r="K472">
            <v>388739333</v>
          </cell>
        </row>
        <row r="473">
          <cell r="J473">
            <v>890983938</v>
          </cell>
          <cell r="K473">
            <v>113489369</v>
          </cell>
        </row>
        <row r="474">
          <cell r="J474">
            <v>890984043</v>
          </cell>
          <cell r="K474">
            <v>212678584</v>
          </cell>
        </row>
        <row r="475">
          <cell r="J475">
            <v>890984068</v>
          </cell>
          <cell r="K475">
            <v>52266030</v>
          </cell>
        </row>
        <row r="476">
          <cell r="J476">
            <v>890984132</v>
          </cell>
          <cell r="K476">
            <v>63100575</v>
          </cell>
        </row>
        <row r="477">
          <cell r="J477">
            <v>890984161</v>
          </cell>
          <cell r="K477">
            <v>46486544</v>
          </cell>
        </row>
        <row r="478">
          <cell r="J478">
            <v>890984186</v>
          </cell>
          <cell r="K478">
            <v>66160249</v>
          </cell>
        </row>
        <row r="479">
          <cell r="J479">
            <v>890984221</v>
          </cell>
          <cell r="K479">
            <v>642722350</v>
          </cell>
        </row>
        <row r="480">
          <cell r="J480">
            <v>890984224</v>
          </cell>
          <cell r="K480">
            <v>113387085</v>
          </cell>
        </row>
        <row r="481">
          <cell r="J481">
            <v>890984265</v>
          </cell>
          <cell r="K481">
            <v>250479459</v>
          </cell>
        </row>
        <row r="482">
          <cell r="J482">
            <v>890984295</v>
          </cell>
          <cell r="K482">
            <v>503450070</v>
          </cell>
        </row>
        <row r="483">
          <cell r="J483">
            <v>890984312</v>
          </cell>
          <cell r="K483">
            <v>481763802</v>
          </cell>
        </row>
        <row r="484">
          <cell r="J484">
            <v>890984376</v>
          </cell>
          <cell r="K484">
            <v>88232376</v>
          </cell>
        </row>
        <row r="485">
          <cell r="J485">
            <v>890984634</v>
          </cell>
          <cell r="K485">
            <v>233433387</v>
          </cell>
        </row>
        <row r="486">
          <cell r="J486">
            <v>890985285</v>
          </cell>
          <cell r="K486">
            <v>209646495</v>
          </cell>
        </row>
        <row r="487">
          <cell r="J487">
            <v>890985354</v>
          </cell>
          <cell r="K487">
            <v>392560881</v>
          </cell>
        </row>
        <row r="488">
          <cell r="J488">
            <v>890985623</v>
          </cell>
          <cell r="K488">
            <v>645262433</v>
          </cell>
        </row>
        <row r="489">
          <cell r="J489">
            <v>891102764</v>
          </cell>
          <cell r="K489">
            <v>206854243</v>
          </cell>
        </row>
        <row r="490">
          <cell r="J490">
            <v>891102844</v>
          </cell>
          <cell r="K490">
            <v>110625395</v>
          </cell>
        </row>
        <row r="491">
          <cell r="J491">
            <v>891180009</v>
          </cell>
          <cell r="K491">
            <v>527618082</v>
          </cell>
        </row>
        <row r="492">
          <cell r="J492">
            <v>891180019</v>
          </cell>
          <cell r="K492">
            <v>98886291</v>
          </cell>
        </row>
        <row r="493">
          <cell r="J493">
            <v>891180024</v>
          </cell>
          <cell r="K493">
            <v>379996287</v>
          </cell>
        </row>
        <row r="494">
          <cell r="J494">
            <v>891180028</v>
          </cell>
          <cell r="K494">
            <v>107047479</v>
          </cell>
        </row>
        <row r="495">
          <cell r="J495">
            <v>891180040</v>
          </cell>
          <cell r="K495">
            <v>121709835</v>
          </cell>
        </row>
        <row r="496">
          <cell r="J496">
            <v>891180056</v>
          </cell>
          <cell r="K496">
            <v>480705104</v>
          </cell>
        </row>
        <row r="497">
          <cell r="J497">
            <v>891180069</v>
          </cell>
          <cell r="K497">
            <v>552179728</v>
          </cell>
        </row>
        <row r="498">
          <cell r="J498">
            <v>891180070</v>
          </cell>
          <cell r="K498">
            <v>197075971</v>
          </cell>
        </row>
        <row r="499">
          <cell r="J499">
            <v>891180076</v>
          </cell>
          <cell r="K499">
            <v>174495129</v>
          </cell>
        </row>
        <row r="500">
          <cell r="J500">
            <v>891180118</v>
          </cell>
          <cell r="K500">
            <v>52571091</v>
          </cell>
        </row>
        <row r="501">
          <cell r="J501">
            <v>891180127</v>
          </cell>
          <cell r="K501">
            <v>75132539</v>
          </cell>
        </row>
        <row r="502">
          <cell r="J502">
            <v>891180131</v>
          </cell>
          <cell r="K502">
            <v>108271044</v>
          </cell>
        </row>
        <row r="503">
          <cell r="J503">
            <v>891180132</v>
          </cell>
          <cell r="K503">
            <v>62341337</v>
          </cell>
        </row>
        <row r="504">
          <cell r="J504">
            <v>891180139</v>
          </cell>
          <cell r="K504">
            <v>160601269</v>
          </cell>
        </row>
        <row r="505">
          <cell r="J505">
            <v>891180155</v>
          </cell>
          <cell r="K505">
            <v>787386918</v>
          </cell>
        </row>
        <row r="506">
          <cell r="J506">
            <v>891180176</v>
          </cell>
          <cell r="K506">
            <v>428424160</v>
          </cell>
        </row>
        <row r="507">
          <cell r="J507">
            <v>891180177</v>
          </cell>
          <cell r="K507">
            <v>314706960</v>
          </cell>
        </row>
        <row r="508">
          <cell r="J508">
            <v>891180179</v>
          </cell>
          <cell r="K508">
            <v>111988192</v>
          </cell>
        </row>
        <row r="509">
          <cell r="J509">
            <v>891180180</v>
          </cell>
          <cell r="K509">
            <v>220949308</v>
          </cell>
        </row>
        <row r="510">
          <cell r="J510">
            <v>891180181</v>
          </cell>
          <cell r="K510">
            <v>108422345</v>
          </cell>
        </row>
        <row r="511">
          <cell r="J511">
            <v>891180182</v>
          </cell>
          <cell r="K511">
            <v>326867162</v>
          </cell>
        </row>
        <row r="512">
          <cell r="J512">
            <v>891180183</v>
          </cell>
          <cell r="K512">
            <v>82598451</v>
          </cell>
        </row>
        <row r="513">
          <cell r="J513">
            <v>891180187</v>
          </cell>
          <cell r="K513">
            <v>96636642</v>
          </cell>
        </row>
        <row r="514">
          <cell r="J514">
            <v>891180191</v>
          </cell>
          <cell r="K514">
            <v>372119955</v>
          </cell>
        </row>
        <row r="515">
          <cell r="J515">
            <v>891180194</v>
          </cell>
          <cell r="K515">
            <v>95999155</v>
          </cell>
        </row>
        <row r="516">
          <cell r="J516">
            <v>891180199</v>
          </cell>
          <cell r="K516">
            <v>237991190</v>
          </cell>
        </row>
        <row r="517">
          <cell r="J517">
            <v>891180205</v>
          </cell>
          <cell r="K517">
            <v>223449780</v>
          </cell>
        </row>
        <row r="518">
          <cell r="J518">
            <v>891180211</v>
          </cell>
          <cell r="K518">
            <v>327530639</v>
          </cell>
        </row>
        <row r="519">
          <cell r="J519">
            <v>891190431</v>
          </cell>
          <cell r="K519">
            <v>89801185</v>
          </cell>
        </row>
        <row r="520">
          <cell r="J520">
            <v>891200461</v>
          </cell>
          <cell r="K520">
            <v>296215970</v>
          </cell>
        </row>
        <row r="521">
          <cell r="J521">
            <v>891200513</v>
          </cell>
          <cell r="K521">
            <v>304478033</v>
          </cell>
        </row>
        <row r="522">
          <cell r="J522">
            <v>891280000</v>
          </cell>
          <cell r="K522">
            <v>401735692</v>
          </cell>
        </row>
        <row r="523">
          <cell r="J523">
            <v>891380007</v>
          </cell>
          <cell r="K523">
            <v>66180672</v>
          </cell>
        </row>
        <row r="524">
          <cell r="J524">
            <v>891380038</v>
          </cell>
          <cell r="K524">
            <v>206399806</v>
          </cell>
        </row>
        <row r="525">
          <cell r="J525">
            <v>891380089</v>
          </cell>
          <cell r="K525">
            <v>383267128</v>
          </cell>
        </row>
        <row r="526">
          <cell r="J526">
            <v>891380115</v>
          </cell>
          <cell r="K526">
            <v>615450100</v>
          </cell>
        </row>
        <row r="527">
          <cell r="J527">
            <v>891480022</v>
          </cell>
          <cell r="K527">
            <v>195347256</v>
          </cell>
        </row>
        <row r="528">
          <cell r="J528">
            <v>891480024</v>
          </cell>
          <cell r="K528">
            <v>47960209</v>
          </cell>
        </row>
        <row r="529">
          <cell r="J529">
            <v>891480025</v>
          </cell>
          <cell r="K529">
            <v>52665492</v>
          </cell>
        </row>
        <row r="530">
          <cell r="J530">
            <v>891480026</v>
          </cell>
          <cell r="K530">
            <v>83513234</v>
          </cell>
        </row>
        <row r="531">
          <cell r="J531">
            <v>891480030</v>
          </cell>
          <cell r="K531">
            <v>50243057</v>
          </cell>
        </row>
        <row r="532">
          <cell r="J532">
            <v>891480031</v>
          </cell>
          <cell r="K532">
            <v>333339001</v>
          </cell>
        </row>
        <row r="533">
          <cell r="J533">
            <v>891480033</v>
          </cell>
          <cell r="K533">
            <v>222339069</v>
          </cell>
        </row>
        <row r="534">
          <cell r="J534">
            <v>891500269</v>
          </cell>
          <cell r="K534">
            <v>71279270</v>
          </cell>
        </row>
        <row r="535">
          <cell r="J535">
            <v>891500580</v>
          </cell>
          <cell r="K535">
            <v>325800203</v>
          </cell>
        </row>
        <row r="536">
          <cell r="J536">
            <v>891500725</v>
          </cell>
          <cell r="K536">
            <v>354038940</v>
          </cell>
        </row>
        <row r="537">
          <cell r="J537">
            <v>891500742</v>
          </cell>
          <cell r="K537">
            <v>412627379</v>
          </cell>
        </row>
        <row r="538">
          <cell r="J538">
            <v>891500841</v>
          </cell>
          <cell r="K538">
            <v>102650177</v>
          </cell>
        </row>
        <row r="539">
          <cell r="J539">
            <v>891500856</v>
          </cell>
          <cell r="K539">
            <v>502115636</v>
          </cell>
        </row>
        <row r="540">
          <cell r="J540">
            <v>891500864</v>
          </cell>
          <cell r="K540">
            <v>95250546</v>
          </cell>
        </row>
        <row r="541">
          <cell r="J541">
            <v>891500869</v>
          </cell>
          <cell r="K541">
            <v>247802695</v>
          </cell>
        </row>
        <row r="542">
          <cell r="J542">
            <v>891500978</v>
          </cell>
          <cell r="K542">
            <v>367735282</v>
          </cell>
        </row>
        <row r="543">
          <cell r="J543">
            <v>891500982</v>
          </cell>
          <cell r="K543">
            <v>230559972</v>
          </cell>
        </row>
        <row r="544">
          <cell r="J544">
            <v>891500997</v>
          </cell>
          <cell r="K544">
            <v>198836848</v>
          </cell>
        </row>
        <row r="545">
          <cell r="J545">
            <v>891501277</v>
          </cell>
          <cell r="K545">
            <v>10568277</v>
          </cell>
        </row>
        <row r="546">
          <cell r="J546">
            <v>891501283</v>
          </cell>
          <cell r="K546">
            <v>288702327</v>
          </cell>
        </row>
        <row r="547">
          <cell r="J547">
            <v>891501292</v>
          </cell>
          <cell r="K547">
            <v>367219037</v>
          </cell>
        </row>
        <row r="548">
          <cell r="J548">
            <v>891501723</v>
          </cell>
          <cell r="K548">
            <v>226219772</v>
          </cell>
        </row>
        <row r="549">
          <cell r="J549">
            <v>891502169</v>
          </cell>
          <cell r="K549">
            <v>89551340</v>
          </cell>
        </row>
        <row r="550">
          <cell r="J550">
            <v>891502194</v>
          </cell>
          <cell r="K550">
            <v>454918575</v>
          </cell>
        </row>
        <row r="551">
          <cell r="J551">
            <v>891502307</v>
          </cell>
          <cell r="K551">
            <v>221410174</v>
          </cell>
        </row>
        <row r="552">
          <cell r="J552">
            <v>891502397</v>
          </cell>
          <cell r="K552">
            <v>233432446</v>
          </cell>
        </row>
        <row r="553">
          <cell r="J553">
            <v>891502482</v>
          </cell>
          <cell r="K553">
            <v>95544940</v>
          </cell>
        </row>
        <row r="554">
          <cell r="J554">
            <v>891502664</v>
          </cell>
          <cell r="K554">
            <v>183830597</v>
          </cell>
        </row>
        <row r="555">
          <cell r="J555">
            <v>891580006</v>
          </cell>
          <cell r="K555">
            <v>532985815</v>
          </cell>
        </row>
        <row r="556">
          <cell r="J556">
            <v>891680011</v>
          </cell>
          <cell r="K556">
            <v>658832398</v>
          </cell>
        </row>
        <row r="557">
          <cell r="J557">
            <v>891702186</v>
          </cell>
          <cell r="K557">
            <v>260683594</v>
          </cell>
        </row>
        <row r="558">
          <cell r="J558">
            <v>891703045</v>
          </cell>
          <cell r="K558">
            <v>573831709</v>
          </cell>
        </row>
        <row r="559">
          <cell r="J559">
            <v>891780009</v>
          </cell>
          <cell r="K559">
            <v>540590789</v>
          </cell>
        </row>
        <row r="560">
          <cell r="J560">
            <v>891780041</v>
          </cell>
          <cell r="K560">
            <v>494213191</v>
          </cell>
        </row>
        <row r="561">
          <cell r="J561">
            <v>891780042</v>
          </cell>
          <cell r="K561">
            <v>150942913</v>
          </cell>
        </row>
        <row r="562">
          <cell r="J562">
            <v>891780043</v>
          </cell>
          <cell r="K562">
            <v>614556997</v>
          </cell>
        </row>
        <row r="563">
          <cell r="J563">
            <v>891780044</v>
          </cell>
          <cell r="K563">
            <v>806485719</v>
          </cell>
        </row>
        <row r="564">
          <cell r="J564">
            <v>891780045</v>
          </cell>
          <cell r="K564">
            <v>244218764</v>
          </cell>
        </row>
        <row r="565">
          <cell r="J565">
            <v>891780047</v>
          </cell>
          <cell r="K565">
            <v>461823986</v>
          </cell>
        </row>
        <row r="566">
          <cell r="J566">
            <v>891780048</v>
          </cell>
          <cell r="K566">
            <v>9752572</v>
          </cell>
        </row>
        <row r="567">
          <cell r="J567">
            <v>891780049</v>
          </cell>
          <cell r="K567">
            <v>65915154</v>
          </cell>
        </row>
        <row r="568">
          <cell r="J568">
            <v>891780050</v>
          </cell>
          <cell r="K568">
            <v>120746543</v>
          </cell>
        </row>
        <row r="569">
          <cell r="J569">
            <v>891780051</v>
          </cell>
          <cell r="K569">
            <v>302175842</v>
          </cell>
        </row>
        <row r="570">
          <cell r="J570">
            <v>891780052</v>
          </cell>
          <cell r="K570">
            <v>95268443</v>
          </cell>
        </row>
        <row r="571">
          <cell r="J571">
            <v>891780054</v>
          </cell>
          <cell r="K571">
            <v>59176186</v>
          </cell>
        </row>
        <row r="572">
          <cell r="J572">
            <v>891780055</v>
          </cell>
          <cell r="K572">
            <v>168359700</v>
          </cell>
        </row>
        <row r="573">
          <cell r="J573">
            <v>891780056</v>
          </cell>
          <cell r="K573">
            <v>490419491</v>
          </cell>
        </row>
        <row r="574">
          <cell r="J574">
            <v>891780057</v>
          </cell>
          <cell r="K574">
            <v>56337824</v>
          </cell>
        </row>
        <row r="575">
          <cell r="J575">
            <v>891780103</v>
          </cell>
          <cell r="K575">
            <v>271301680</v>
          </cell>
        </row>
        <row r="576">
          <cell r="J576">
            <v>891800466</v>
          </cell>
          <cell r="K576">
            <v>190147714</v>
          </cell>
        </row>
        <row r="577">
          <cell r="J577">
            <v>891800846</v>
          </cell>
          <cell r="K577">
            <v>205010146</v>
          </cell>
        </row>
        <row r="578">
          <cell r="J578">
            <v>891800860</v>
          </cell>
          <cell r="K578">
            <v>130482277</v>
          </cell>
        </row>
        <row r="579">
          <cell r="J579">
            <v>891800896</v>
          </cell>
          <cell r="K579">
            <v>43304262</v>
          </cell>
        </row>
        <row r="580">
          <cell r="J580">
            <v>891800986</v>
          </cell>
          <cell r="K580">
            <v>193373673</v>
          </cell>
        </row>
        <row r="581">
          <cell r="J581">
            <v>891801061</v>
          </cell>
          <cell r="K581">
            <v>122178622</v>
          </cell>
        </row>
        <row r="582">
          <cell r="J582">
            <v>891801129</v>
          </cell>
          <cell r="K582">
            <v>56240656</v>
          </cell>
        </row>
        <row r="583">
          <cell r="J583">
            <v>891801240</v>
          </cell>
          <cell r="K583">
            <v>375559943</v>
          </cell>
        </row>
        <row r="584">
          <cell r="J584">
            <v>891801244</v>
          </cell>
          <cell r="K584">
            <v>95951690</v>
          </cell>
        </row>
        <row r="585">
          <cell r="J585">
            <v>891801268</v>
          </cell>
          <cell r="K585">
            <v>16905903</v>
          </cell>
        </row>
        <row r="586">
          <cell r="J586">
            <v>891801280</v>
          </cell>
          <cell r="K586">
            <v>163825075</v>
          </cell>
        </row>
        <row r="587">
          <cell r="J587">
            <v>891801282</v>
          </cell>
          <cell r="K587">
            <v>24289265</v>
          </cell>
        </row>
        <row r="588">
          <cell r="J588">
            <v>891801286</v>
          </cell>
          <cell r="K588">
            <v>26159703</v>
          </cell>
        </row>
        <row r="589">
          <cell r="J589">
            <v>891801357</v>
          </cell>
          <cell r="K589">
            <v>43766281</v>
          </cell>
        </row>
        <row r="590">
          <cell r="J590">
            <v>891801362</v>
          </cell>
          <cell r="K590">
            <v>121497439</v>
          </cell>
        </row>
        <row r="591">
          <cell r="J591">
            <v>891801368</v>
          </cell>
          <cell r="K591">
            <v>127842999</v>
          </cell>
        </row>
        <row r="592">
          <cell r="J592">
            <v>891801369</v>
          </cell>
          <cell r="K592">
            <v>115660597</v>
          </cell>
        </row>
        <row r="593">
          <cell r="J593">
            <v>891801376</v>
          </cell>
          <cell r="K593">
            <v>99582345</v>
          </cell>
        </row>
        <row r="594">
          <cell r="J594">
            <v>891801770</v>
          </cell>
          <cell r="K594">
            <v>17314675</v>
          </cell>
        </row>
        <row r="595">
          <cell r="J595">
            <v>891801787</v>
          </cell>
          <cell r="K595">
            <v>106810019</v>
          </cell>
        </row>
        <row r="596">
          <cell r="J596">
            <v>891801796</v>
          </cell>
          <cell r="K596">
            <v>24245043</v>
          </cell>
        </row>
        <row r="597">
          <cell r="J597">
            <v>891801911</v>
          </cell>
          <cell r="K597">
            <v>118751760</v>
          </cell>
        </row>
        <row r="598">
          <cell r="J598">
            <v>891801932</v>
          </cell>
          <cell r="K598">
            <v>74676387</v>
          </cell>
        </row>
        <row r="599">
          <cell r="J599">
            <v>891801962</v>
          </cell>
          <cell r="K599">
            <v>163738881</v>
          </cell>
        </row>
        <row r="600">
          <cell r="J600">
            <v>891801988</v>
          </cell>
          <cell r="K600">
            <v>16496756</v>
          </cell>
        </row>
        <row r="601">
          <cell r="J601">
            <v>891802106</v>
          </cell>
          <cell r="K601">
            <v>79190140</v>
          </cell>
        </row>
        <row r="602">
          <cell r="J602">
            <v>891802151</v>
          </cell>
          <cell r="K602">
            <v>82751417</v>
          </cell>
        </row>
        <row r="603">
          <cell r="J603">
            <v>891855015</v>
          </cell>
          <cell r="K603">
            <v>52572774</v>
          </cell>
        </row>
        <row r="604">
          <cell r="J604">
            <v>891855016</v>
          </cell>
          <cell r="K604">
            <v>120536277</v>
          </cell>
        </row>
        <row r="605">
          <cell r="J605">
            <v>891855130</v>
          </cell>
          <cell r="K605">
            <v>339157139</v>
          </cell>
        </row>
        <row r="606">
          <cell r="J606">
            <v>891855138</v>
          </cell>
          <cell r="K606">
            <v>15903443</v>
          </cell>
        </row>
        <row r="607">
          <cell r="J607">
            <v>891855361</v>
          </cell>
          <cell r="K607">
            <v>10294882</v>
          </cell>
        </row>
        <row r="608">
          <cell r="J608">
            <v>891855735</v>
          </cell>
          <cell r="K608">
            <v>71127074</v>
          </cell>
        </row>
        <row r="609">
          <cell r="J609">
            <v>891855769</v>
          </cell>
          <cell r="K609">
            <v>28914032</v>
          </cell>
        </row>
        <row r="610">
          <cell r="J610">
            <v>891856077</v>
          </cell>
          <cell r="K610">
            <v>24083927</v>
          </cell>
        </row>
        <row r="611">
          <cell r="J611">
            <v>891856131</v>
          </cell>
          <cell r="K611">
            <v>93473423</v>
          </cell>
        </row>
        <row r="612">
          <cell r="J612">
            <v>891856257</v>
          </cell>
          <cell r="K612">
            <v>40950047</v>
          </cell>
        </row>
        <row r="613">
          <cell r="J613">
            <v>891856288</v>
          </cell>
          <cell r="K613">
            <v>55120273</v>
          </cell>
        </row>
        <row r="614">
          <cell r="J614">
            <v>891856294</v>
          </cell>
          <cell r="K614">
            <v>85083265</v>
          </cell>
        </row>
        <row r="615">
          <cell r="J615">
            <v>891856464</v>
          </cell>
          <cell r="K615">
            <v>79758802</v>
          </cell>
        </row>
        <row r="616">
          <cell r="J616">
            <v>891856472</v>
          </cell>
          <cell r="K616">
            <v>31330345</v>
          </cell>
        </row>
        <row r="617">
          <cell r="J617">
            <v>891856555</v>
          </cell>
          <cell r="K617">
            <v>43384002</v>
          </cell>
        </row>
        <row r="618">
          <cell r="J618">
            <v>891856593</v>
          </cell>
          <cell r="K618">
            <v>55420269</v>
          </cell>
        </row>
        <row r="619">
          <cell r="J619">
            <v>891856625</v>
          </cell>
          <cell r="K619">
            <v>56720917</v>
          </cell>
        </row>
        <row r="620">
          <cell r="J620">
            <v>891857764</v>
          </cell>
          <cell r="K620">
            <v>73692548</v>
          </cell>
        </row>
        <row r="621">
          <cell r="J621">
            <v>891857805</v>
          </cell>
          <cell r="K621">
            <v>47203553</v>
          </cell>
        </row>
        <row r="622">
          <cell r="J622">
            <v>891857821</v>
          </cell>
          <cell r="K622">
            <v>50364666</v>
          </cell>
        </row>
        <row r="623">
          <cell r="J623">
            <v>891857844</v>
          </cell>
          <cell r="K623">
            <v>70767856</v>
          </cell>
        </row>
        <row r="624">
          <cell r="J624">
            <v>891857861</v>
          </cell>
          <cell r="K624">
            <v>13510889</v>
          </cell>
        </row>
        <row r="625">
          <cell r="J625">
            <v>891857920</v>
          </cell>
          <cell r="K625">
            <v>38026929</v>
          </cell>
        </row>
        <row r="626">
          <cell r="J626">
            <v>891900272</v>
          </cell>
          <cell r="K626">
            <v>46523648</v>
          </cell>
        </row>
        <row r="627">
          <cell r="J627">
            <v>891900289</v>
          </cell>
          <cell r="K627">
            <v>202069003</v>
          </cell>
        </row>
        <row r="628">
          <cell r="J628">
            <v>891900357</v>
          </cell>
          <cell r="K628">
            <v>196712907</v>
          </cell>
        </row>
        <row r="629">
          <cell r="J629">
            <v>891900624</v>
          </cell>
          <cell r="K629">
            <v>252492949</v>
          </cell>
        </row>
        <row r="630">
          <cell r="J630">
            <v>891900764</v>
          </cell>
          <cell r="K630">
            <v>251301432</v>
          </cell>
        </row>
        <row r="631">
          <cell r="J631">
            <v>891900945</v>
          </cell>
          <cell r="K631">
            <v>176570369</v>
          </cell>
        </row>
        <row r="632">
          <cell r="J632">
            <v>891900985</v>
          </cell>
          <cell r="K632">
            <v>192125232</v>
          </cell>
        </row>
        <row r="633">
          <cell r="J633">
            <v>891901079</v>
          </cell>
          <cell r="K633">
            <v>156802722</v>
          </cell>
        </row>
        <row r="634">
          <cell r="J634">
            <v>892099105</v>
          </cell>
          <cell r="K634">
            <v>585367509</v>
          </cell>
        </row>
        <row r="635">
          <cell r="J635">
            <v>892099173</v>
          </cell>
          <cell r="K635">
            <v>56936022</v>
          </cell>
        </row>
        <row r="636">
          <cell r="J636">
            <v>892099183</v>
          </cell>
          <cell r="K636">
            <v>215050391</v>
          </cell>
        </row>
        <row r="637">
          <cell r="J637">
            <v>892099242</v>
          </cell>
          <cell r="K637">
            <v>87776468</v>
          </cell>
        </row>
        <row r="638">
          <cell r="J638">
            <v>892099278</v>
          </cell>
          <cell r="K638">
            <v>90078116</v>
          </cell>
        </row>
        <row r="639">
          <cell r="J639">
            <v>892099317</v>
          </cell>
          <cell r="K639">
            <v>75514790</v>
          </cell>
        </row>
        <row r="640">
          <cell r="J640">
            <v>892099324</v>
          </cell>
          <cell r="K640">
            <v>370086615</v>
          </cell>
        </row>
        <row r="641">
          <cell r="J641">
            <v>892099325</v>
          </cell>
          <cell r="K641">
            <v>121664389</v>
          </cell>
        </row>
        <row r="642">
          <cell r="J642">
            <v>892099494</v>
          </cell>
          <cell r="K642">
            <v>679374653</v>
          </cell>
        </row>
        <row r="643">
          <cell r="J643">
            <v>892115007</v>
          </cell>
          <cell r="K643">
            <v>559206514</v>
          </cell>
        </row>
        <row r="644">
          <cell r="J644">
            <v>892115024</v>
          </cell>
          <cell r="K644">
            <v>178052087</v>
          </cell>
        </row>
        <row r="645">
          <cell r="J645">
            <v>892115179</v>
          </cell>
          <cell r="K645">
            <v>443002223</v>
          </cell>
        </row>
        <row r="646">
          <cell r="J646">
            <v>892120020</v>
          </cell>
          <cell r="K646">
            <v>3045881574</v>
          </cell>
        </row>
        <row r="647">
          <cell r="J647">
            <v>892200058</v>
          </cell>
          <cell r="K647">
            <v>252421205</v>
          </cell>
        </row>
        <row r="648">
          <cell r="J648">
            <v>892200591</v>
          </cell>
          <cell r="K648">
            <v>964005739</v>
          </cell>
        </row>
        <row r="649">
          <cell r="J649">
            <v>892200592</v>
          </cell>
          <cell r="K649">
            <v>1094725168</v>
          </cell>
        </row>
        <row r="650">
          <cell r="J650">
            <v>892200839</v>
          </cell>
          <cell r="K650">
            <v>460456134</v>
          </cell>
        </row>
        <row r="651">
          <cell r="J651">
            <v>892201282</v>
          </cell>
          <cell r="K651">
            <v>159590057</v>
          </cell>
        </row>
        <row r="652">
          <cell r="J652">
            <v>892201286</v>
          </cell>
          <cell r="K652">
            <v>147427508</v>
          </cell>
        </row>
        <row r="653">
          <cell r="J653">
            <v>892201287</v>
          </cell>
          <cell r="K653">
            <v>384548303</v>
          </cell>
        </row>
        <row r="654">
          <cell r="J654">
            <v>892201296</v>
          </cell>
          <cell r="K654">
            <v>71753842</v>
          </cell>
        </row>
        <row r="655">
          <cell r="J655">
            <v>892280032</v>
          </cell>
          <cell r="K655">
            <v>328607176</v>
          </cell>
        </row>
        <row r="656">
          <cell r="J656">
            <v>892280053</v>
          </cell>
          <cell r="K656">
            <v>30836612</v>
          </cell>
        </row>
        <row r="657">
          <cell r="J657">
            <v>892280054</v>
          </cell>
          <cell r="K657">
            <v>519555219</v>
          </cell>
        </row>
        <row r="658">
          <cell r="J658">
            <v>892280055</v>
          </cell>
          <cell r="K658">
            <v>731038825</v>
          </cell>
        </row>
        <row r="659">
          <cell r="J659">
            <v>892280057</v>
          </cell>
          <cell r="K659">
            <v>789972744</v>
          </cell>
        </row>
        <row r="660">
          <cell r="J660">
            <v>892280061</v>
          </cell>
          <cell r="K660">
            <v>460379877</v>
          </cell>
        </row>
        <row r="661">
          <cell r="J661">
            <v>892280063</v>
          </cell>
          <cell r="K661">
            <v>310947665</v>
          </cell>
        </row>
        <row r="662">
          <cell r="J662">
            <v>892300123</v>
          </cell>
          <cell r="K662">
            <v>273132442</v>
          </cell>
        </row>
        <row r="663">
          <cell r="J663">
            <v>892300815</v>
          </cell>
          <cell r="K663">
            <v>748431557</v>
          </cell>
        </row>
        <row r="664">
          <cell r="J664">
            <v>892301093</v>
          </cell>
          <cell r="K664">
            <v>353846449</v>
          </cell>
        </row>
        <row r="665">
          <cell r="J665">
            <v>892301130</v>
          </cell>
          <cell r="K665">
            <v>571816969</v>
          </cell>
        </row>
        <row r="666">
          <cell r="J666">
            <v>892301541</v>
          </cell>
          <cell r="K666">
            <v>376753745</v>
          </cell>
        </row>
        <row r="667">
          <cell r="J667">
            <v>892301761</v>
          </cell>
          <cell r="K667">
            <v>81151667</v>
          </cell>
        </row>
        <row r="668">
          <cell r="J668">
            <v>892400038</v>
          </cell>
          <cell r="K668">
            <v>245152074</v>
          </cell>
        </row>
        <row r="669">
          <cell r="J669">
            <v>899999061</v>
          </cell>
          <cell r="K669">
            <v>352417736</v>
          </cell>
        </row>
        <row r="670">
          <cell r="J670">
            <v>899999318</v>
          </cell>
          <cell r="K670">
            <v>156377313</v>
          </cell>
        </row>
        <row r="671">
          <cell r="J671">
            <v>899999323</v>
          </cell>
          <cell r="K671">
            <v>29132340</v>
          </cell>
        </row>
        <row r="672">
          <cell r="J672">
            <v>899999342</v>
          </cell>
          <cell r="K672">
            <v>162976906</v>
          </cell>
        </row>
        <row r="673">
          <cell r="J673">
            <v>899999462</v>
          </cell>
          <cell r="K673">
            <v>122808416</v>
          </cell>
        </row>
        <row r="674">
          <cell r="J674">
            <v>900127183</v>
          </cell>
          <cell r="K674">
            <v>156997775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"/>
      <sheetName val="fiduprev"/>
      <sheetName val="Gratuidad"/>
      <sheetName val="BDGRATUIDAD"/>
      <sheetName val="Hoja1"/>
      <sheetName val="Hoja2"/>
      <sheetName val="anuladas en mayo gratuidad}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K2">
            <v>800028432</v>
          </cell>
          <cell r="L2">
            <v>243386506</v>
          </cell>
        </row>
        <row r="3">
          <cell r="K3">
            <v>800095728</v>
          </cell>
          <cell r="L3">
            <v>12917846</v>
          </cell>
        </row>
        <row r="4">
          <cell r="K4">
            <v>800095760</v>
          </cell>
          <cell r="L4">
            <v>146535388</v>
          </cell>
        </row>
        <row r="5">
          <cell r="K5">
            <v>800095785</v>
          </cell>
          <cell r="L5">
            <v>9281941</v>
          </cell>
        </row>
        <row r="6">
          <cell r="K6">
            <v>800096734</v>
          </cell>
          <cell r="L6">
            <v>117926112</v>
          </cell>
        </row>
        <row r="7">
          <cell r="K7">
            <v>800096740</v>
          </cell>
          <cell r="L7">
            <v>104166149</v>
          </cell>
        </row>
        <row r="8">
          <cell r="K8">
            <v>800098911</v>
          </cell>
          <cell r="L8">
            <v>170860306</v>
          </cell>
        </row>
        <row r="9">
          <cell r="K9">
            <v>800099223</v>
          </cell>
          <cell r="L9">
            <v>135086254</v>
          </cell>
        </row>
        <row r="10">
          <cell r="K10">
            <v>800099425</v>
          </cell>
          <cell r="L10">
            <v>43085208</v>
          </cell>
        </row>
        <row r="11">
          <cell r="K11">
            <v>800102504</v>
          </cell>
          <cell r="L11">
            <v>85011406</v>
          </cell>
        </row>
        <row r="12">
          <cell r="K12">
            <v>800102906</v>
          </cell>
          <cell r="L12">
            <v>15650662</v>
          </cell>
        </row>
        <row r="13">
          <cell r="K13">
            <v>800113389</v>
          </cell>
          <cell r="L13">
            <v>422374283</v>
          </cell>
        </row>
        <row r="14">
          <cell r="K14">
            <v>806001937</v>
          </cell>
          <cell r="L14">
            <v>99820736</v>
          </cell>
        </row>
        <row r="15">
          <cell r="K15">
            <v>812001681</v>
          </cell>
          <cell r="L15">
            <v>74298192</v>
          </cell>
        </row>
        <row r="16">
          <cell r="K16">
            <v>819000925</v>
          </cell>
          <cell r="L16">
            <v>126273895</v>
          </cell>
        </row>
        <row r="17">
          <cell r="K17">
            <v>819003219</v>
          </cell>
          <cell r="L17">
            <v>111754162</v>
          </cell>
        </row>
        <row r="18">
          <cell r="K18">
            <v>823003543</v>
          </cell>
          <cell r="L18">
            <v>30279439</v>
          </cell>
        </row>
        <row r="19">
          <cell r="K19">
            <v>890000464</v>
          </cell>
          <cell r="L19">
            <v>135192782</v>
          </cell>
        </row>
        <row r="20">
          <cell r="K20">
            <v>890102018</v>
          </cell>
          <cell r="L20">
            <v>1145827026</v>
          </cell>
        </row>
        <row r="21">
          <cell r="K21">
            <v>890201222</v>
          </cell>
          <cell r="L21">
            <v>51816572</v>
          </cell>
        </row>
        <row r="22">
          <cell r="K22">
            <v>890399011</v>
          </cell>
          <cell r="L22">
            <v>171408432</v>
          </cell>
        </row>
        <row r="23">
          <cell r="K23">
            <v>890480184</v>
          </cell>
          <cell r="L23">
            <v>107012490</v>
          </cell>
        </row>
        <row r="24">
          <cell r="K24">
            <v>890480643</v>
          </cell>
          <cell r="L24">
            <v>73892793</v>
          </cell>
        </row>
        <row r="25">
          <cell r="K25">
            <v>890501434</v>
          </cell>
          <cell r="L25">
            <v>76768723</v>
          </cell>
        </row>
        <row r="26">
          <cell r="K26">
            <v>890680236</v>
          </cell>
          <cell r="L26">
            <v>85049187</v>
          </cell>
        </row>
        <row r="27">
          <cell r="K27">
            <v>890801138</v>
          </cell>
          <cell r="L27">
            <v>106402871</v>
          </cell>
        </row>
        <row r="28">
          <cell r="K28">
            <v>890801149</v>
          </cell>
          <cell r="L28">
            <v>95588319</v>
          </cell>
        </row>
        <row r="29">
          <cell r="K29">
            <v>890802650</v>
          </cell>
          <cell r="L29">
            <v>35001709</v>
          </cell>
        </row>
        <row r="30">
          <cell r="K30">
            <v>890802795</v>
          </cell>
          <cell r="L30">
            <v>35202252</v>
          </cell>
        </row>
        <row r="31">
          <cell r="K31">
            <v>890905211</v>
          </cell>
          <cell r="L31">
            <v>543195966</v>
          </cell>
        </row>
        <row r="32">
          <cell r="K32">
            <v>890906445</v>
          </cell>
          <cell r="L32">
            <v>622448293</v>
          </cell>
        </row>
        <row r="33">
          <cell r="K33">
            <v>890907106</v>
          </cell>
          <cell r="L33">
            <v>10074578</v>
          </cell>
        </row>
        <row r="34">
          <cell r="K34">
            <v>890980093</v>
          </cell>
          <cell r="L34">
            <v>180135016</v>
          </cell>
        </row>
        <row r="35">
          <cell r="K35">
            <v>890980096</v>
          </cell>
          <cell r="L35">
            <v>231554402</v>
          </cell>
        </row>
        <row r="36">
          <cell r="K36">
            <v>890980112</v>
          </cell>
          <cell r="L36">
            <v>235188823</v>
          </cell>
        </row>
        <row r="37">
          <cell r="K37">
            <v>890981138</v>
          </cell>
          <cell r="L37">
            <v>179922972</v>
          </cell>
        </row>
        <row r="38">
          <cell r="K38">
            <v>890981207</v>
          </cell>
          <cell r="L38">
            <v>41277828</v>
          </cell>
        </row>
        <row r="39">
          <cell r="K39">
            <v>890981567</v>
          </cell>
          <cell r="L39">
            <v>16823104</v>
          </cell>
        </row>
        <row r="40">
          <cell r="K40">
            <v>890983706</v>
          </cell>
          <cell r="L40">
            <v>57303217</v>
          </cell>
        </row>
        <row r="41">
          <cell r="K41">
            <v>890984882</v>
          </cell>
          <cell r="L41">
            <v>73275334</v>
          </cell>
        </row>
        <row r="42">
          <cell r="K42">
            <v>891380007</v>
          </cell>
          <cell r="L42">
            <v>75390113</v>
          </cell>
        </row>
        <row r="43">
          <cell r="K43">
            <v>891780044</v>
          </cell>
          <cell r="L43">
            <v>46932565</v>
          </cell>
        </row>
        <row r="44">
          <cell r="K44">
            <v>891780045</v>
          </cell>
          <cell r="L44">
            <v>183902248</v>
          </cell>
        </row>
        <row r="45">
          <cell r="K45">
            <v>891780048</v>
          </cell>
          <cell r="L45">
            <v>56541667</v>
          </cell>
        </row>
        <row r="46">
          <cell r="K46">
            <v>891780051</v>
          </cell>
          <cell r="L46">
            <v>291831724</v>
          </cell>
        </row>
        <row r="47">
          <cell r="K47">
            <v>891780055</v>
          </cell>
          <cell r="L47">
            <v>50458930</v>
          </cell>
        </row>
        <row r="48">
          <cell r="K48">
            <v>891855138</v>
          </cell>
          <cell r="L48">
            <v>27811306</v>
          </cell>
        </row>
        <row r="49">
          <cell r="K49">
            <v>892099475</v>
          </cell>
          <cell r="L49">
            <v>163166213</v>
          </cell>
        </row>
        <row r="50">
          <cell r="K50">
            <v>892115007</v>
          </cell>
          <cell r="L50">
            <v>51660680</v>
          </cell>
        </row>
        <row r="51">
          <cell r="K51">
            <v>899999061</v>
          </cell>
          <cell r="L51">
            <v>1163256937</v>
          </cell>
        </row>
        <row r="52">
          <cell r="K52">
            <v>899999302</v>
          </cell>
          <cell r="L52">
            <v>110903490</v>
          </cell>
        </row>
        <row r="53">
          <cell r="K53">
            <v>899999398</v>
          </cell>
          <cell r="L53">
            <v>19847192</v>
          </cell>
        </row>
        <row r="54">
          <cell r="K54">
            <v>899999407</v>
          </cell>
          <cell r="L54">
            <v>45357577</v>
          </cell>
        </row>
        <row r="55">
          <cell r="K55">
            <v>899999430</v>
          </cell>
          <cell r="L55">
            <v>171918184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P 2018"/>
      <sheetName val="AP-PAT"/>
      <sheetName val="AP DOC-FIDU"/>
      <sheetName val="PRES-SER"/>
      <sheetName val="PENS-CANC"/>
      <sheetName val="CALIDAD"/>
      <sheetName val="nocercalidad"/>
      <sheetName val="MUNCERCALIDAD"/>
    </sheetNames>
    <sheetDataSet>
      <sheetData sheetId="0"/>
      <sheetData sheetId="1"/>
      <sheetData sheetId="2"/>
      <sheetData sheetId="3"/>
      <sheetData sheetId="4">
        <row r="2">
          <cell r="A2">
            <v>8909002860</v>
          </cell>
          <cell r="B2">
            <v>2762877812</v>
          </cell>
        </row>
        <row r="3">
          <cell r="A3">
            <v>8901020061</v>
          </cell>
          <cell r="B3">
            <v>1116272390</v>
          </cell>
        </row>
        <row r="4">
          <cell r="A4">
            <v>8904800591</v>
          </cell>
          <cell r="B4">
            <v>985171409</v>
          </cell>
        </row>
        <row r="5">
          <cell r="A5">
            <v>8918004981</v>
          </cell>
          <cell r="B5">
            <v>1803337580</v>
          </cell>
        </row>
        <row r="6">
          <cell r="A6">
            <v>8908010521</v>
          </cell>
          <cell r="B6">
            <v>0</v>
          </cell>
        </row>
        <row r="7">
          <cell r="A7">
            <v>8000915944</v>
          </cell>
          <cell r="B7">
            <v>0</v>
          </cell>
        </row>
        <row r="8">
          <cell r="A8">
            <v>8915800168</v>
          </cell>
          <cell r="B8">
            <v>837384827</v>
          </cell>
        </row>
        <row r="9">
          <cell r="A9">
            <v>8923999991</v>
          </cell>
          <cell r="B9">
            <v>227779843</v>
          </cell>
        </row>
        <row r="10">
          <cell r="A10">
            <v>8001039356</v>
          </cell>
          <cell r="B10">
            <v>508966832</v>
          </cell>
        </row>
        <row r="11">
          <cell r="A11">
            <v>8999991140</v>
          </cell>
          <cell r="B11">
            <v>3339633797</v>
          </cell>
        </row>
        <row r="12">
          <cell r="A12">
            <v>8916800103</v>
          </cell>
          <cell r="B12">
            <v>591168652</v>
          </cell>
        </row>
        <row r="13">
          <cell r="A13">
            <v>8001039134</v>
          </cell>
          <cell r="B13">
            <v>537128221</v>
          </cell>
        </row>
        <row r="14">
          <cell r="A14">
            <v>8921150151</v>
          </cell>
          <cell r="B14">
            <v>142898927</v>
          </cell>
        </row>
        <row r="15">
          <cell r="A15">
            <v>8001039206</v>
          </cell>
          <cell r="B15">
            <v>600431291</v>
          </cell>
        </row>
        <row r="16">
          <cell r="A16">
            <v>8920001488</v>
          </cell>
          <cell r="B16">
            <v>262233485</v>
          </cell>
        </row>
        <row r="17">
          <cell r="A17">
            <v>8001039238</v>
          </cell>
          <cell r="B17">
            <v>1025228897</v>
          </cell>
        </row>
        <row r="18">
          <cell r="A18">
            <v>8001039277</v>
          </cell>
          <cell r="B18">
            <v>1114881956</v>
          </cell>
        </row>
        <row r="19">
          <cell r="A19">
            <v>8900016391</v>
          </cell>
          <cell r="B19">
            <v>0</v>
          </cell>
        </row>
        <row r="20">
          <cell r="A20">
            <v>8914800857</v>
          </cell>
          <cell r="B20">
            <v>544946956</v>
          </cell>
        </row>
        <row r="21">
          <cell r="A21">
            <v>8902012356</v>
          </cell>
          <cell r="B21">
            <v>1555200516</v>
          </cell>
        </row>
        <row r="22">
          <cell r="A22">
            <v>8922800211</v>
          </cell>
          <cell r="B22">
            <v>0</v>
          </cell>
        </row>
        <row r="23">
          <cell r="A23">
            <v>8001136727</v>
          </cell>
          <cell r="B23">
            <v>2658897930</v>
          </cell>
        </row>
        <row r="24">
          <cell r="A24">
            <v>8903990295</v>
          </cell>
          <cell r="B24">
            <v>3421314966</v>
          </cell>
        </row>
        <row r="25">
          <cell r="A25">
            <v>8001028385</v>
          </cell>
          <cell r="B25">
            <v>35483017</v>
          </cell>
        </row>
        <row r="26">
          <cell r="A26">
            <v>8920992166</v>
          </cell>
          <cell r="B26">
            <v>62294604</v>
          </cell>
        </row>
        <row r="27">
          <cell r="A27">
            <v>8000941644</v>
          </cell>
          <cell r="B27">
            <v>90380151</v>
          </cell>
        </row>
        <row r="28">
          <cell r="A28">
            <v>8924000382</v>
          </cell>
          <cell r="B28">
            <v>128164044</v>
          </cell>
        </row>
        <row r="29">
          <cell r="A29">
            <v>8999993369</v>
          </cell>
          <cell r="B29">
            <v>0</v>
          </cell>
        </row>
        <row r="30">
          <cell r="A30">
            <v>8920991490</v>
          </cell>
          <cell r="B30">
            <v>15146835</v>
          </cell>
        </row>
        <row r="31">
          <cell r="A31">
            <v>8001031961</v>
          </cell>
          <cell r="B31">
            <v>9575745</v>
          </cell>
        </row>
        <row r="32">
          <cell r="A32">
            <v>8450000210</v>
          </cell>
          <cell r="B32">
            <v>9017382</v>
          </cell>
        </row>
        <row r="33">
          <cell r="A33">
            <v>8000940678</v>
          </cell>
          <cell r="B33">
            <v>22666318</v>
          </cell>
        </row>
        <row r="34">
          <cell r="A34">
            <v>8999990619</v>
          </cell>
          <cell r="B34">
            <v>3721053169</v>
          </cell>
        </row>
        <row r="35">
          <cell r="A35">
            <v>8901020181</v>
          </cell>
          <cell r="B35">
            <v>0</v>
          </cell>
        </row>
        <row r="36">
          <cell r="A36">
            <v>8904801844</v>
          </cell>
          <cell r="B36">
            <v>0</v>
          </cell>
        </row>
        <row r="37">
          <cell r="A37">
            <v>8917800094</v>
          </cell>
          <cell r="B37">
            <v>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ctenos@lapalma-cundinamarca.gov.co" TargetMode="External"/><Relationship Id="rId18" Type="http://schemas.openxmlformats.org/officeDocument/2006/relationships/hyperlink" Target="mailto:contactenos@otanche-boyaca.gov.co" TargetMode="External"/><Relationship Id="rId26" Type="http://schemas.openxmlformats.org/officeDocument/2006/relationships/hyperlink" Target="mailto:maloguevy@hotmail.com" TargetMode="External"/><Relationship Id="rId39" Type="http://schemas.openxmlformats.org/officeDocument/2006/relationships/hyperlink" Target="mailto:yhernandez@valledelcauca.gov.co" TargetMode="External"/><Relationship Id="rId21" Type="http://schemas.openxmlformats.org/officeDocument/2006/relationships/hyperlink" Target="mailto:contactenos@molagavita-santander.gov.co" TargetMode="External"/><Relationship Id="rId34" Type="http://schemas.openxmlformats.org/officeDocument/2006/relationships/hyperlink" Target="mailto:hacienda@labelleza-santander.gov.co" TargetMode="External"/><Relationship Id="rId42" Type="http://schemas.openxmlformats.org/officeDocument/2006/relationships/hyperlink" Target="mailto:secretariadehacienda@sabanalarga-casanare.gov.co" TargetMode="External"/><Relationship Id="rId47" Type="http://schemas.openxmlformats.org/officeDocument/2006/relationships/hyperlink" Target="mailto:Alexander.cardona@itagui.gov.co" TargetMode="External"/><Relationship Id="rId50" Type="http://schemas.openxmlformats.org/officeDocument/2006/relationships/vmlDrawing" Target="../drawings/vmlDrawing1.vml"/><Relationship Id="rId7" Type="http://schemas.openxmlformats.org/officeDocument/2006/relationships/hyperlink" Target="mailto:tesoreria@yondo-antioquia.gov.co" TargetMode="External"/><Relationship Id="rId2" Type="http://schemas.openxmlformats.org/officeDocument/2006/relationships/hyperlink" Target="mailto:secretariadehacienda@magangue-bolivar.gov.co" TargetMode="External"/><Relationship Id="rId16" Type="http://schemas.openxmlformats.org/officeDocument/2006/relationships/hyperlink" Target="mailto:controlinterno@riohacha-laguajira.gov.co" TargetMode="External"/><Relationship Id="rId29" Type="http://schemas.openxmlformats.org/officeDocument/2006/relationships/hyperlink" Target="mailto:contabilidad@lacalera-cundinamarca.gov.co" TargetMode="External"/><Relationship Id="rId11" Type="http://schemas.openxmlformats.org/officeDocument/2006/relationships/hyperlink" Target="mailto:contactenos@sanfrancisco-cundinamarca.gov.co" TargetMode="External"/><Relationship Id="rId24" Type="http://schemas.openxmlformats.org/officeDocument/2006/relationships/hyperlink" Target="mailto:contabilidad@hatonuevo-laguajira.gov.co" TargetMode="External"/><Relationship Id="rId32" Type="http://schemas.openxmlformats.org/officeDocument/2006/relationships/hyperlink" Target="mailto:contador_sanvicente@hotmail.com" TargetMode="External"/><Relationship Id="rId37" Type="http://schemas.openxmlformats.org/officeDocument/2006/relationships/hyperlink" Target="mailto:tesoreria@lamontanita-caqueta.gov.co" TargetMode="External"/><Relationship Id="rId40" Type="http://schemas.openxmlformats.org/officeDocument/2006/relationships/hyperlink" Target="mailto:bygasociados@yohoo.es" TargetMode="External"/><Relationship Id="rId45" Type="http://schemas.openxmlformats.org/officeDocument/2006/relationships/hyperlink" Target="mailto:goberchoco@yahoo.es" TargetMode="External"/><Relationship Id="rId5" Type="http://schemas.openxmlformats.org/officeDocument/2006/relationships/hyperlink" Target="mailto:secretariahaciendacapitanejo@hotmail.com" TargetMode="External"/><Relationship Id="rId15" Type="http://schemas.openxmlformats.org/officeDocument/2006/relationships/hyperlink" Target="mailto:secretariadehacienda@maicao-laguajira.gov.co" TargetMode="External"/><Relationship Id="rId23" Type="http://schemas.openxmlformats.org/officeDocument/2006/relationships/hyperlink" Target="mailto:germanr1969@gmail.com;lucymicha@hotmail.com" TargetMode="External"/><Relationship Id="rId28" Type="http://schemas.openxmlformats.org/officeDocument/2006/relationships/hyperlink" Target="mailto:contabilidad@candelaria-valle.gov.co" TargetMode="External"/><Relationship Id="rId36" Type="http://schemas.openxmlformats.org/officeDocument/2006/relationships/hyperlink" Target="mailto:contabilidad@puertotejada-cauca.gov.co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mailto:alcaldia@lospatios-nortedesantander.gov.co" TargetMode="External"/><Relationship Id="rId19" Type="http://schemas.openxmlformats.org/officeDocument/2006/relationships/hyperlink" Target="mailto:contactenos@puertoleguizamo-putumayo.gov.co" TargetMode="External"/><Relationship Id="rId31" Type="http://schemas.openxmlformats.org/officeDocument/2006/relationships/hyperlink" Target="mailto:nticaldo@hotmail.com" TargetMode="External"/><Relationship Id="rId44" Type="http://schemas.openxmlformats.org/officeDocument/2006/relationships/hyperlink" Target="mailto:contabilidad@cauca.gov.co" TargetMode="External"/><Relationship Id="rId4" Type="http://schemas.openxmlformats.org/officeDocument/2006/relationships/hyperlink" Target="mailto:carmen.gil@alcaldianeiva.gov.co" TargetMode="External"/><Relationship Id="rId9" Type="http://schemas.openxmlformats.org/officeDocument/2006/relationships/hyperlink" Target="mailto:ylozano@bucaramanga.gov.co" TargetMode="External"/><Relationship Id="rId14" Type="http://schemas.openxmlformats.org/officeDocument/2006/relationships/hyperlink" Target="mailto:nomina@leticia-amazonas.gov.co" TargetMode="External"/><Relationship Id="rId22" Type="http://schemas.openxmlformats.org/officeDocument/2006/relationships/hyperlink" Target="mailto:contactenos@sanpelayo-cordoba.gov.co" TargetMode="External"/><Relationship Id="rId27" Type="http://schemas.openxmlformats.org/officeDocument/2006/relationships/hyperlink" Target="mailto:contabilidad@amazonas.gov.co" TargetMode="External"/><Relationship Id="rId30" Type="http://schemas.openxmlformats.org/officeDocument/2006/relationships/hyperlink" Target="mailto:contabilidad@duitama-boyaca.gov.co" TargetMode="External"/><Relationship Id="rId35" Type="http://schemas.openxmlformats.org/officeDocument/2006/relationships/hyperlink" Target="mailto:josefinarobayo@gmail.com" TargetMode="External"/><Relationship Id="rId43" Type="http://schemas.openxmlformats.org/officeDocument/2006/relationships/hyperlink" Target="mailto:ivonne.salas@barrancabermeja.gov.co" TargetMode="External"/><Relationship Id="rId48" Type="http://schemas.openxmlformats.org/officeDocument/2006/relationships/hyperlink" Target="mailto:hacienda@lavega-cauca.gov.co" TargetMode="External"/><Relationship Id="rId8" Type="http://schemas.openxmlformats.org/officeDocument/2006/relationships/hyperlink" Target="mailto:ifragoso@barranquilla.gov.co" TargetMode="External"/><Relationship Id="rId51" Type="http://schemas.openxmlformats.org/officeDocument/2006/relationships/comments" Target="../comments1.xml"/><Relationship Id="rId3" Type="http://schemas.openxmlformats.org/officeDocument/2006/relationships/hyperlink" Target="mailto:alcaldia@popayan-cauca.gov.co" TargetMode="External"/><Relationship Id="rId12" Type="http://schemas.openxmlformats.org/officeDocument/2006/relationships/hyperlink" Target="mailto:alcaldia@une-cundinamarca.gov.co" TargetMode="External"/><Relationship Id="rId17" Type="http://schemas.openxmlformats.org/officeDocument/2006/relationships/hyperlink" Target="mailto:contabilidad@sanmartin-meta.gov.co" TargetMode="External"/><Relationship Id="rId25" Type="http://schemas.openxmlformats.org/officeDocument/2006/relationships/hyperlink" Target="mailto:despacho.gobernador@boyaca.gov.co;astridesco10@hotmail.com" TargetMode="External"/><Relationship Id="rId33" Type="http://schemas.openxmlformats.org/officeDocument/2006/relationships/hyperlink" Target="mailto:haciendamunicipal@eltambo-cauca.gov.co" TargetMode="External"/><Relationship Id="rId38" Type="http://schemas.openxmlformats.org/officeDocument/2006/relationships/hyperlink" Target="mailto:alcaldia@apartado.gov.co" TargetMode="External"/><Relationship Id="rId46" Type="http://schemas.openxmlformats.org/officeDocument/2006/relationships/hyperlink" Target="mailto:libia.joven@cali.gov.co" TargetMode="External"/><Relationship Id="rId20" Type="http://schemas.openxmlformats.org/officeDocument/2006/relationships/hyperlink" Target="mailto:alcaldia@palestina-caldas.gov.co" TargetMode="External"/><Relationship Id="rId41" Type="http://schemas.openxmlformats.org/officeDocument/2006/relationships/hyperlink" Target="mailto:contabilidad@ladorada-caldas.gov.co" TargetMode="External"/><Relationship Id="rId1" Type="http://schemas.openxmlformats.org/officeDocument/2006/relationships/hyperlink" Target="mailto:alcaldia@sanjacinto-bolivar.gov.co" TargetMode="External"/><Relationship Id="rId6" Type="http://schemas.openxmlformats.org/officeDocument/2006/relationships/hyperlink" Target="mailto:alcaldia@purisima-cordob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 filterMode="1">
    <tabColor rgb="FF00FF00"/>
  </sheetPr>
  <dimension ref="A1:CD1139"/>
  <sheetViews>
    <sheetView tabSelected="1" zoomScale="112" zoomScaleNormal="112" workbookViewId="0">
      <pane xSplit="4" ySplit="2" topLeftCell="BB1124" activePane="bottomRight" state="frozen"/>
      <selection activeCell="C1132" sqref="C1132"/>
      <selection pane="topRight" activeCell="C1132" sqref="C1132"/>
      <selection pane="bottomLeft" activeCell="C1132" sqref="C1132"/>
      <selection pane="bottomRight" activeCell="BC3" sqref="BC3:BC1135"/>
    </sheetView>
  </sheetViews>
  <sheetFormatPr baseColWidth="10" defaultColWidth="11.42578125" defaultRowHeight="15.75" x14ac:dyDescent="0.25"/>
  <cols>
    <col min="1" max="1" width="13.42578125" style="12" bestFit="1" customWidth="1"/>
    <col min="2" max="2" width="11" style="13" customWidth="1"/>
    <col min="3" max="3" width="13.28515625" style="12" customWidth="1"/>
    <col min="4" max="4" width="28.7109375" style="12" customWidth="1"/>
    <col min="5" max="5" width="24" style="40" hidden="1" customWidth="1"/>
    <col min="6" max="9" width="24" style="22" hidden="1" customWidth="1"/>
    <col min="10" max="10" width="24" style="26" hidden="1" customWidth="1"/>
    <col min="11" max="12" width="24" style="22" hidden="1" customWidth="1"/>
    <col min="13" max="13" width="24" style="47" hidden="1" customWidth="1"/>
    <col min="14" max="22" width="24" style="12" hidden="1" customWidth="1"/>
    <col min="23" max="23" width="20.140625" style="12" hidden="1" customWidth="1"/>
    <col min="24" max="24" width="23.5703125" style="12" hidden="1" customWidth="1"/>
    <col min="25" max="28" width="20.140625" style="12" hidden="1" customWidth="1"/>
    <col min="29" max="29" width="17" style="12" hidden="1" customWidth="1"/>
    <col min="30" max="31" width="25.28515625" style="12" hidden="1" customWidth="1"/>
    <col min="32" max="32" width="23.5703125" style="12" hidden="1" customWidth="1"/>
    <col min="33" max="35" width="21.5703125" style="12" hidden="1" customWidth="1"/>
    <col min="36" max="36" width="22.5703125" style="12" hidden="1" customWidth="1"/>
    <col min="37" max="37" width="21.85546875" style="12" hidden="1" customWidth="1"/>
    <col min="38" max="38" width="17" style="12" hidden="1" customWidth="1"/>
    <col min="39" max="39" width="18.28515625" style="12" hidden="1" customWidth="1"/>
    <col min="40" max="40" width="22.28515625" style="12" customWidth="1"/>
    <col min="41" max="41" width="19" style="12" customWidth="1"/>
    <col min="42" max="42" width="18.42578125" style="12" customWidth="1"/>
    <col min="43" max="44" width="16.5703125" style="12" customWidth="1"/>
    <col min="45" max="45" width="15.140625" style="12" customWidth="1"/>
    <col min="46" max="46" width="15.5703125" style="12" customWidth="1"/>
    <col min="47" max="50" width="22.28515625" style="12" customWidth="1"/>
    <col min="51" max="52" width="21.5703125" style="12" customWidth="1"/>
    <col min="53" max="54" width="22.28515625" style="12" customWidth="1"/>
    <col min="55" max="55" width="17.5703125" style="12" bestFit="1" customWidth="1"/>
    <col min="56" max="56" width="18.5703125" style="14" customWidth="1"/>
    <col min="57" max="57" width="16.7109375" style="14" bestFit="1" customWidth="1"/>
    <col min="58" max="58" width="21.5703125" style="12" customWidth="1"/>
    <col min="59" max="59" width="18.85546875" style="12" customWidth="1"/>
    <col min="60" max="61" width="20.140625" style="12" customWidth="1"/>
    <col min="62" max="62" width="19.140625" style="12" customWidth="1"/>
    <col min="63" max="68" width="11.42578125" style="12" customWidth="1"/>
    <col min="69" max="16384" width="11.42578125" style="12"/>
  </cols>
  <sheetData>
    <row r="1" spans="1:66" s="5" customFormat="1" ht="29.25" customHeight="1" x14ac:dyDescent="0.2">
      <c r="A1" s="76" t="s">
        <v>0</v>
      </c>
      <c r="B1" s="91" t="s">
        <v>1003</v>
      </c>
      <c r="C1" s="89" t="s">
        <v>1</v>
      </c>
      <c r="D1" s="76" t="s">
        <v>2</v>
      </c>
      <c r="E1" s="90" t="s">
        <v>3</v>
      </c>
      <c r="F1" s="80" t="s">
        <v>2256</v>
      </c>
      <c r="G1" s="80"/>
      <c r="H1" s="80"/>
      <c r="I1" s="76" t="s">
        <v>2257</v>
      </c>
      <c r="J1" s="76"/>
      <c r="K1" s="76"/>
      <c r="L1" s="76"/>
      <c r="M1" s="77" t="s">
        <v>4</v>
      </c>
      <c r="N1" s="78" t="s">
        <v>2258</v>
      </c>
      <c r="O1" s="78"/>
      <c r="P1" s="78"/>
      <c r="Q1" s="76" t="s">
        <v>2259</v>
      </c>
      <c r="R1" s="76"/>
      <c r="S1" s="76"/>
      <c r="T1" s="76"/>
      <c r="U1" s="80" t="s">
        <v>5</v>
      </c>
      <c r="V1" s="78" t="s">
        <v>2261</v>
      </c>
      <c r="W1" s="78"/>
      <c r="X1" s="78"/>
      <c r="Y1" s="76" t="s">
        <v>2262</v>
      </c>
      <c r="Z1" s="76"/>
      <c r="AA1" s="76"/>
      <c r="AB1" s="76"/>
      <c r="AC1" s="80" t="s">
        <v>5</v>
      </c>
      <c r="AD1" s="78" t="s">
        <v>2266</v>
      </c>
      <c r="AE1" s="78"/>
      <c r="AF1" s="78"/>
      <c r="AG1" s="78"/>
      <c r="AH1" s="83" t="s">
        <v>2269</v>
      </c>
      <c r="AI1" s="84"/>
      <c r="AJ1" s="84"/>
      <c r="AK1" s="84"/>
      <c r="AL1" s="85"/>
      <c r="AM1" s="81" t="s">
        <v>2100</v>
      </c>
      <c r="AN1" s="80" t="s">
        <v>5</v>
      </c>
      <c r="AO1" s="72" t="s">
        <v>2270</v>
      </c>
      <c r="AP1" s="86"/>
      <c r="AQ1" s="86"/>
      <c r="AR1" s="86"/>
      <c r="AS1" s="73"/>
      <c r="AT1" s="72" t="s">
        <v>2271</v>
      </c>
      <c r="AU1" s="86"/>
      <c r="AV1" s="86"/>
      <c r="AW1" s="86"/>
      <c r="AX1" s="86"/>
      <c r="AY1" s="86"/>
      <c r="AZ1" s="73"/>
      <c r="BA1" s="72" t="s">
        <v>2100</v>
      </c>
      <c r="BB1" s="73"/>
      <c r="BC1" s="74" t="s">
        <v>5</v>
      </c>
      <c r="BD1" s="79" t="s">
        <v>2098</v>
      </c>
      <c r="BE1" s="79"/>
      <c r="BF1" s="79"/>
      <c r="BG1" s="79"/>
    </row>
    <row r="2" spans="1:66" s="5" customFormat="1" ht="48.75" customHeight="1" x14ac:dyDescent="0.2">
      <c r="A2" s="76"/>
      <c r="B2" s="91"/>
      <c r="C2" s="89"/>
      <c r="D2" s="76"/>
      <c r="E2" s="90"/>
      <c r="F2" s="24" t="s">
        <v>6</v>
      </c>
      <c r="G2" s="25" t="s">
        <v>7</v>
      </c>
      <c r="H2" s="25" t="s">
        <v>8</v>
      </c>
      <c r="I2" s="50" t="s">
        <v>6</v>
      </c>
      <c r="J2" s="25" t="s">
        <v>9</v>
      </c>
      <c r="K2" s="25" t="s">
        <v>10</v>
      </c>
      <c r="L2" s="25" t="s">
        <v>8</v>
      </c>
      <c r="M2" s="77"/>
      <c r="N2" s="24" t="s">
        <v>6</v>
      </c>
      <c r="O2" s="25" t="s">
        <v>7</v>
      </c>
      <c r="P2" s="24" t="s">
        <v>2068</v>
      </c>
      <c r="Q2" s="24" t="s">
        <v>6</v>
      </c>
      <c r="R2" s="25" t="s">
        <v>9</v>
      </c>
      <c r="S2" s="25" t="s">
        <v>10</v>
      </c>
      <c r="T2" s="49" t="s">
        <v>2068</v>
      </c>
      <c r="U2" s="80"/>
      <c r="V2" s="55" t="s">
        <v>6</v>
      </c>
      <c r="W2" s="25" t="s">
        <v>7</v>
      </c>
      <c r="X2" s="55" t="s">
        <v>2068</v>
      </c>
      <c r="Y2" s="55" t="s">
        <v>6</v>
      </c>
      <c r="Z2" s="25" t="s">
        <v>9</v>
      </c>
      <c r="AA2" s="25" t="s">
        <v>10</v>
      </c>
      <c r="AB2" s="55" t="s">
        <v>2068</v>
      </c>
      <c r="AC2" s="80"/>
      <c r="AD2" s="57" t="s">
        <v>2267</v>
      </c>
      <c r="AE2" s="57" t="s">
        <v>2268</v>
      </c>
      <c r="AF2" s="25" t="s">
        <v>7</v>
      </c>
      <c r="AG2" s="57" t="s">
        <v>2068</v>
      </c>
      <c r="AH2" s="57" t="s">
        <v>2267</v>
      </c>
      <c r="AI2" s="57" t="s">
        <v>2268</v>
      </c>
      <c r="AJ2" s="25" t="s">
        <v>9</v>
      </c>
      <c r="AK2" s="25" t="s">
        <v>10</v>
      </c>
      <c r="AL2" s="57" t="s">
        <v>2068</v>
      </c>
      <c r="AM2" s="82"/>
      <c r="AN2" s="80"/>
      <c r="AO2" s="63" t="s">
        <v>2267</v>
      </c>
      <c r="AP2" s="63" t="s">
        <v>2268</v>
      </c>
      <c r="AQ2" s="63" t="s">
        <v>7</v>
      </c>
      <c r="AR2" s="64" t="s">
        <v>2068</v>
      </c>
      <c r="AS2" s="63" t="s">
        <v>2273</v>
      </c>
      <c r="AT2" s="63" t="s">
        <v>2267</v>
      </c>
      <c r="AU2" s="63" t="s">
        <v>2268</v>
      </c>
      <c r="AV2" s="63" t="s">
        <v>9</v>
      </c>
      <c r="AW2" s="63" t="s">
        <v>10</v>
      </c>
      <c r="AX2" s="64" t="s">
        <v>2068</v>
      </c>
      <c r="AY2" s="63" t="s">
        <v>2272</v>
      </c>
      <c r="AZ2" s="66" t="s">
        <v>2273</v>
      </c>
      <c r="BA2" s="63" t="s">
        <v>2274</v>
      </c>
      <c r="BB2" s="66" t="s">
        <v>2275</v>
      </c>
      <c r="BC2" s="75"/>
      <c r="BD2" s="10" t="s">
        <v>2099</v>
      </c>
      <c r="BE2" s="10" t="s">
        <v>2100</v>
      </c>
      <c r="BF2" s="11" t="s">
        <v>2251</v>
      </c>
      <c r="BG2" s="10" t="s">
        <v>2097</v>
      </c>
    </row>
    <row r="3" spans="1:66" ht="15" customHeight="1" x14ac:dyDescent="0.2">
      <c r="A3" s="1">
        <v>8909811955</v>
      </c>
      <c r="B3" s="1">
        <v>890981195</v>
      </c>
      <c r="C3" s="15">
        <v>210205002</v>
      </c>
      <c r="D3" s="16" t="s">
        <v>43</v>
      </c>
      <c r="E3" s="41" t="s">
        <v>1076</v>
      </c>
      <c r="F3" s="28"/>
      <c r="G3" s="2"/>
      <c r="H3" s="3"/>
      <c r="I3" s="2"/>
      <c r="J3" s="29"/>
      <c r="K3" s="3"/>
      <c r="L3" s="2"/>
      <c r="M3" s="8"/>
      <c r="N3" s="3"/>
      <c r="O3" s="2"/>
      <c r="P3" s="3"/>
      <c r="Q3" s="2"/>
      <c r="R3" s="3"/>
      <c r="S3" s="3"/>
      <c r="T3" s="2"/>
      <c r="U3" s="8">
        <f t="shared" ref="U3:U66" si="0">SUM(M3:T3)</f>
        <v>0</v>
      </c>
      <c r="V3" s="8"/>
      <c r="W3" s="8"/>
      <c r="X3" s="8"/>
      <c r="Y3" s="8"/>
      <c r="Z3" s="8"/>
      <c r="AA3" s="8"/>
      <c r="AB3" s="8"/>
      <c r="AC3" s="8">
        <f>SUM(U3:AB3)</f>
        <v>0</v>
      </c>
      <c r="AD3" s="8"/>
      <c r="AE3" s="8"/>
      <c r="AF3" s="8"/>
      <c r="AG3" s="8"/>
      <c r="AH3" s="8"/>
      <c r="AI3" s="8"/>
      <c r="AJ3" s="8"/>
      <c r="AK3" s="8"/>
      <c r="AL3" s="8"/>
      <c r="AM3" s="8">
        <v>252130017</v>
      </c>
      <c r="AN3" s="8">
        <f>SUM(AC3:AM3)</f>
        <v>252130017</v>
      </c>
      <c r="AO3" s="8"/>
      <c r="AP3" s="8"/>
      <c r="AQ3" s="8"/>
      <c r="AR3" s="8"/>
      <c r="AS3" s="8"/>
      <c r="AT3" s="8"/>
      <c r="AU3" s="8"/>
      <c r="AV3" s="8"/>
      <c r="AW3" s="8"/>
      <c r="AX3" s="8"/>
      <c r="AY3" s="8">
        <v>105194050</v>
      </c>
      <c r="AZ3" s="8"/>
      <c r="BA3" s="8"/>
      <c r="BB3" s="8"/>
      <c r="BC3" s="8">
        <f>SUM(AN3:BA3)-BB3</f>
        <v>357324067</v>
      </c>
      <c r="BD3" s="4">
        <v>105194050</v>
      </c>
      <c r="BE3" s="4">
        <f>+AM3+BA3-BB3</f>
        <v>252130017</v>
      </c>
      <c r="BF3" s="30">
        <f>+BD3+BE3</f>
        <v>357324067</v>
      </c>
      <c r="BG3" s="18">
        <f>+BC3-BF3</f>
        <v>0</v>
      </c>
      <c r="BH3" s="23"/>
      <c r="BI3" s="23"/>
      <c r="BJ3" s="23"/>
    </row>
    <row r="4" spans="1:66" ht="15" customHeight="1" x14ac:dyDescent="0.2">
      <c r="A4" s="1">
        <v>8905046120</v>
      </c>
      <c r="B4" s="1">
        <v>890504612</v>
      </c>
      <c r="C4" s="15">
        <v>210354003</v>
      </c>
      <c r="D4" s="16" t="s">
        <v>751</v>
      </c>
      <c r="E4" s="41" t="s">
        <v>1772</v>
      </c>
      <c r="F4" s="28"/>
      <c r="G4" s="2"/>
      <c r="H4" s="3"/>
      <c r="I4" s="2"/>
      <c r="J4" s="29"/>
      <c r="K4" s="3"/>
      <c r="L4" s="2"/>
      <c r="M4" s="8"/>
      <c r="N4" s="3"/>
      <c r="O4" s="2"/>
      <c r="P4" s="3"/>
      <c r="Q4" s="2"/>
      <c r="R4" s="3"/>
      <c r="S4" s="3"/>
      <c r="T4" s="2"/>
      <c r="U4" s="8">
        <f t="shared" si="0"/>
        <v>0</v>
      </c>
      <c r="V4" s="8"/>
      <c r="W4" s="8"/>
      <c r="X4" s="8"/>
      <c r="Y4" s="8"/>
      <c r="Z4" s="8"/>
      <c r="AA4" s="8"/>
      <c r="AB4" s="8"/>
      <c r="AC4" s="8">
        <f t="shared" ref="AC4:AC67" si="1">SUM(U4:AB4)</f>
        <v>0</v>
      </c>
      <c r="AD4" s="8"/>
      <c r="AE4" s="8"/>
      <c r="AF4" s="8"/>
      <c r="AG4" s="8"/>
      <c r="AH4" s="8"/>
      <c r="AI4" s="8"/>
      <c r="AJ4" s="8"/>
      <c r="AK4" s="8"/>
      <c r="AL4" s="8"/>
      <c r="AM4" s="8">
        <v>88161029</v>
      </c>
      <c r="AN4" s="8">
        <f t="shared" ref="AN4:AN56" si="2">SUM(AC4:AM4)</f>
        <v>88161029</v>
      </c>
      <c r="AO4" s="8"/>
      <c r="AP4" s="8"/>
      <c r="AQ4" s="8"/>
      <c r="AR4" s="8"/>
      <c r="AS4" s="8"/>
      <c r="AT4" s="8"/>
      <c r="AU4" s="8"/>
      <c r="AV4" s="8"/>
      <c r="AW4" s="8"/>
      <c r="AX4" s="8"/>
      <c r="AY4" s="8">
        <v>265996980</v>
      </c>
      <c r="AZ4" s="8"/>
      <c r="BA4" s="8">
        <f>VLOOKUP(B4,[1]Hoja3!J$3:K$674,2,0)</f>
        <v>333954754</v>
      </c>
      <c r="BB4" s="8"/>
      <c r="BC4" s="8">
        <f t="shared" ref="BC4:BC67" si="3">SUM(AN4:BA4)-BB4</f>
        <v>688112763</v>
      </c>
      <c r="BD4" s="4">
        <v>265996980</v>
      </c>
      <c r="BE4" s="4">
        <f t="shared" ref="BE4:BE67" si="4">+AM4+BA4-BB4</f>
        <v>422115783</v>
      </c>
      <c r="BF4" s="30">
        <f t="shared" ref="BF4:BF67" si="5">+BD4+BE4</f>
        <v>688112763</v>
      </c>
      <c r="BG4" s="18">
        <f t="shared" ref="BG4:BG67" si="6">+BC4-BF4</f>
        <v>0</v>
      </c>
      <c r="BH4" s="23"/>
      <c r="BI4" s="23"/>
      <c r="BJ4" s="23"/>
    </row>
    <row r="5" spans="1:66" ht="15" customHeight="1" x14ac:dyDescent="0.2">
      <c r="A5" s="1">
        <v>8909812511</v>
      </c>
      <c r="B5" s="1">
        <v>890981251</v>
      </c>
      <c r="C5" s="15">
        <v>210405004</v>
      </c>
      <c r="D5" s="16" t="s">
        <v>44</v>
      </c>
      <c r="E5" s="41" t="s">
        <v>1077</v>
      </c>
      <c r="F5" s="28"/>
      <c r="G5" s="2"/>
      <c r="H5" s="3"/>
      <c r="I5" s="2"/>
      <c r="J5" s="29"/>
      <c r="K5" s="3"/>
      <c r="L5" s="2"/>
      <c r="M5" s="8"/>
      <c r="N5" s="3"/>
      <c r="O5" s="2"/>
      <c r="P5" s="3"/>
      <c r="Q5" s="2"/>
      <c r="R5" s="3"/>
      <c r="S5" s="3"/>
      <c r="T5" s="2"/>
      <c r="U5" s="8">
        <f t="shared" si="0"/>
        <v>0</v>
      </c>
      <c r="V5" s="8"/>
      <c r="W5" s="8"/>
      <c r="X5" s="8"/>
      <c r="Y5" s="8"/>
      <c r="Z5" s="8"/>
      <c r="AA5" s="8"/>
      <c r="AB5" s="8"/>
      <c r="AC5" s="8">
        <f t="shared" si="1"/>
        <v>0</v>
      </c>
      <c r="AD5" s="8"/>
      <c r="AE5" s="8"/>
      <c r="AF5" s="8"/>
      <c r="AG5" s="8"/>
      <c r="AH5" s="8"/>
      <c r="AI5" s="8"/>
      <c r="AJ5" s="8"/>
      <c r="AK5" s="8"/>
      <c r="AL5" s="8"/>
      <c r="AM5" s="8">
        <v>29758392</v>
      </c>
      <c r="AN5" s="8">
        <f t="shared" si="2"/>
        <v>29758392</v>
      </c>
      <c r="AO5" s="8"/>
      <c r="AP5" s="8"/>
      <c r="AQ5" s="8"/>
      <c r="AR5" s="8"/>
      <c r="AS5" s="8"/>
      <c r="AT5" s="8"/>
      <c r="AU5" s="8"/>
      <c r="AV5" s="8"/>
      <c r="AW5" s="8"/>
      <c r="AX5" s="8"/>
      <c r="AY5" s="8">
        <v>13969445</v>
      </c>
      <c r="AZ5" s="8"/>
      <c r="BA5" s="8"/>
      <c r="BB5" s="8"/>
      <c r="BC5" s="8">
        <f t="shared" si="3"/>
        <v>43727837</v>
      </c>
      <c r="BD5" s="4">
        <v>13969445</v>
      </c>
      <c r="BE5" s="4">
        <f t="shared" si="4"/>
        <v>29758392</v>
      </c>
      <c r="BF5" s="30">
        <f t="shared" si="5"/>
        <v>43727837</v>
      </c>
      <c r="BG5" s="18">
        <f t="shared" si="6"/>
        <v>0</v>
      </c>
      <c r="BH5" s="23"/>
      <c r="BI5" s="23"/>
      <c r="BJ5" s="23"/>
    </row>
    <row r="6" spans="1:66" ht="15" customHeight="1" x14ac:dyDescent="0.2">
      <c r="A6" s="1">
        <v>8920014573</v>
      </c>
      <c r="B6" s="1">
        <v>892001457</v>
      </c>
      <c r="C6" s="15">
        <v>210650006</v>
      </c>
      <c r="D6" s="16" t="s">
        <v>666</v>
      </c>
      <c r="E6" s="41" t="s">
        <v>1687</v>
      </c>
      <c r="F6" s="28"/>
      <c r="G6" s="2"/>
      <c r="H6" s="3"/>
      <c r="I6" s="2"/>
      <c r="J6" s="29"/>
      <c r="K6" s="3"/>
      <c r="L6" s="2"/>
      <c r="M6" s="8"/>
      <c r="N6" s="3"/>
      <c r="O6" s="2"/>
      <c r="P6" s="3"/>
      <c r="Q6" s="2"/>
      <c r="R6" s="3"/>
      <c r="S6" s="3"/>
      <c r="T6" s="2"/>
      <c r="U6" s="8">
        <f t="shared" si="0"/>
        <v>0</v>
      </c>
      <c r="V6" s="8"/>
      <c r="W6" s="8"/>
      <c r="X6" s="8"/>
      <c r="Y6" s="8"/>
      <c r="Z6" s="8"/>
      <c r="AA6" s="8"/>
      <c r="AB6" s="8"/>
      <c r="AC6" s="8">
        <f t="shared" si="1"/>
        <v>0</v>
      </c>
      <c r="AD6" s="8"/>
      <c r="AE6" s="8"/>
      <c r="AF6" s="8"/>
      <c r="AG6" s="8"/>
      <c r="AH6" s="8"/>
      <c r="AI6" s="8"/>
      <c r="AJ6" s="8"/>
      <c r="AK6" s="8"/>
      <c r="AL6" s="8"/>
      <c r="AM6" s="8">
        <v>1070689589</v>
      </c>
      <c r="AN6" s="8">
        <f t="shared" si="2"/>
        <v>1070689589</v>
      </c>
      <c r="AO6" s="8"/>
      <c r="AP6" s="8"/>
      <c r="AQ6" s="8"/>
      <c r="AR6" s="8"/>
      <c r="AS6" s="8"/>
      <c r="AT6" s="8"/>
      <c r="AU6" s="8"/>
      <c r="AV6" s="8"/>
      <c r="AW6" s="8"/>
      <c r="AX6" s="8"/>
      <c r="AY6" s="8">
        <v>423302020</v>
      </c>
      <c r="AZ6" s="8"/>
      <c r="BA6" s="8"/>
      <c r="BB6" s="8"/>
      <c r="BC6" s="8">
        <f t="shared" si="3"/>
        <v>1493991609</v>
      </c>
      <c r="BD6" s="4">
        <v>423302020</v>
      </c>
      <c r="BE6" s="4">
        <f t="shared" si="4"/>
        <v>1070689589</v>
      </c>
      <c r="BF6" s="30">
        <f t="shared" si="5"/>
        <v>1493991609</v>
      </c>
      <c r="BG6" s="18">
        <f t="shared" si="6"/>
        <v>0</v>
      </c>
      <c r="BH6" s="23"/>
      <c r="BI6" s="23"/>
      <c r="BJ6" s="23"/>
    </row>
    <row r="7" spans="1:66" ht="15" customHeight="1" x14ac:dyDescent="0.2">
      <c r="A7" s="1">
        <v>8916800508</v>
      </c>
      <c r="B7" s="1">
        <v>891680050</v>
      </c>
      <c r="C7" s="15">
        <v>210627006</v>
      </c>
      <c r="D7" s="16" t="s">
        <v>568</v>
      </c>
      <c r="E7" s="41" t="s">
        <v>1587</v>
      </c>
      <c r="F7" s="28"/>
      <c r="G7" s="2"/>
      <c r="H7" s="3"/>
      <c r="I7" s="2"/>
      <c r="J7" s="29"/>
      <c r="K7" s="3"/>
      <c r="L7" s="2"/>
      <c r="M7" s="8"/>
      <c r="N7" s="3"/>
      <c r="O7" s="2"/>
      <c r="P7" s="3"/>
      <c r="Q7" s="2"/>
      <c r="R7" s="3"/>
      <c r="S7" s="3"/>
      <c r="T7" s="2"/>
      <c r="U7" s="8">
        <f t="shared" si="0"/>
        <v>0</v>
      </c>
      <c r="V7" s="8"/>
      <c r="W7" s="8"/>
      <c r="X7" s="8"/>
      <c r="Y7" s="8"/>
      <c r="Z7" s="8"/>
      <c r="AA7" s="8"/>
      <c r="AB7" s="8"/>
      <c r="AC7" s="8">
        <f t="shared" si="1"/>
        <v>0</v>
      </c>
      <c r="AD7" s="8"/>
      <c r="AE7" s="8"/>
      <c r="AF7" s="8"/>
      <c r="AG7" s="8"/>
      <c r="AH7" s="8"/>
      <c r="AI7" s="8"/>
      <c r="AJ7" s="8"/>
      <c r="AK7" s="8"/>
      <c r="AL7" s="8"/>
      <c r="AM7" s="8">
        <v>253745292</v>
      </c>
      <c r="AN7" s="8">
        <f t="shared" si="2"/>
        <v>253745292</v>
      </c>
      <c r="AO7" s="8"/>
      <c r="AP7" s="8"/>
      <c r="AQ7" s="8"/>
      <c r="AR7" s="8"/>
      <c r="AS7" s="8"/>
      <c r="AT7" s="8"/>
      <c r="AU7" s="8"/>
      <c r="AV7" s="8"/>
      <c r="AW7" s="8"/>
      <c r="AX7" s="8"/>
      <c r="AY7" s="8">
        <v>114043975</v>
      </c>
      <c r="AZ7" s="8"/>
      <c r="BA7" s="8"/>
      <c r="BB7" s="8"/>
      <c r="BC7" s="8">
        <f t="shared" si="3"/>
        <v>367789267</v>
      </c>
      <c r="BD7" s="4">
        <v>114043975</v>
      </c>
      <c r="BE7" s="4">
        <f t="shared" si="4"/>
        <v>253745292</v>
      </c>
      <c r="BF7" s="30">
        <f t="shared" si="5"/>
        <v>367789267</v>
      </c>
      <c r="BG7" s="18">
        <f t="shared" si="6"/>
        <v>0</v>
      </c>
      <c r="BH7" s="23"/>
      <c r="BI7" s="23"/>
      <c r="BJ7" s="23"/>
    </row>
    <row r="8" spans="1:66" ht="15" customHeight="1" x14ac:dyDescent="0.2">
      <c r="A8" s="1">
        <v>8911800691</v>
      </c>
      <c r="B8" s="1">
        <v>891180069</v>
      </c>
      <c r="C8" s="15">
        <v>210641006</v>
      </c>
      <c r="D8" s="16" t="s">
        <v>593</v>
      </c>
      <c r="E8" s="41" t="s">
        <v>1615</v>
      </c>
      <c r="F8" s="28"/>
      <c r="G8" s="2"/>
      <c r="H8" s="3"/>
      <c r="I8" s="2"/>
      <c r="J8" s="29"/>
      <c r="K8" s="3"/>
      <c r="L8" s="2"/>
      <c r="M8" s="8"/>
      <c r="N8" s="3"/>
      <c r="O8" s="2"/>
      <c r="P8" s="3"/>
      <c r="Q8" s="2"/>
      <c r="R8" s="3"/>
      <c r="S8" s="3"/>
      <c r="T8" s="2"/>
      <c r="U8" s="8">
        <f t="shared" si="0"/>
        <v>0</v>
      </c>
      <c r="V8" s="8"/>
      <c r="W8" s="8"/>
      <c r="X8" s="8"/>
      <c r="Y8" s="8"/>
      <c r="Z8" s="8"/>
      <c r="AA8" s="8"/>
      <c r="AB8" s="8"/>
      <c r="AC8" s="8">
        <f t="shared" si="1"/>
        <v>0</v>
      </c>
      <c r="AD8" s="8"/>
      <c r="AE8" s="8"/>
      <c r="AF8" s="8"/>
      <c r="AG8" s="8"/>
      <c r="AH8" s="8"/>
      <c r="AI8" s="8"/>
      <c r="AJ8" s="8"/>
      <c r="AK8" s="8"/>
      <c r="AL8" s="8"/>
      <c r="AM8" s="8">
        <v>39915138</v>
      </c>
      <c r="AN8" s="8">
        <f t="shared" si="2"/>
        <v>39915138</v>
      </c>
      <c r="AO8" s="8"/>
      <c r="AP8" s="8"/>
      <c r="AQ8" s="8"/>
      <c r="AR8" s="8"/>
      <c r="AS8" s="8"/>
      <c r="AT8" s="8"/>
      <c r="AU8" s="8"/>
      <c r="AV8" s="8"/>
      <c r="AW8" s="8"/>
      <c r="AX8" s="8"/>
      <c r="AY8" s="8">
        <v>347609505</v>
      </c>
      <c r="AZ8" s="8"/>
      <c r="BA8" s="8">
        <f>VLOOKUP(B8,[1]Hoja3!J$3:K$674,2,0)</f>
        <v>552179728</v>
      </c>
      <c r="BB8" s="8"/>
      <c r="BC8" s="8">
        <f t="shared" si="3"/>
        <v>939704371</v>
      </c>
      <c r="BD8" s="4">
        <v>347609505</v>
      </c>
      <c r="BE8" s="4">
        <f t="shared" si="4"/>
        <v>592094866</v>
      </c>
      <c r="BF8" s="30">
        <f t="shared" si="5"/>
        <v>939704371</v>
      </c>
      <c r="BG8" s="18">
        <f t="shared" si="6"/>
        <v>0</v>
      </c>
      <c r="BH8" s="23"/>
      <c r="BI8" s="23"/>
      <c r="BJ8" s="23"/>
    </row>
    <row r="9" spans="1:66" ht="15" customHeight="1" x14ac:dyDescent="0.2">
      <c r="A9" s="1">
        <v>8000373711</v>
      </c>
      <c r="B9" s="1">
        <v>800037371</v>
      </c>
      <c r="C9" s="15">
        <v>210613006</v>
      </c>
      <c r="D9" s="16" t="s">
        <v>181</v>
      </c>
      <c r="E9" s="41" t="s">
        <v>1210</v>
      </c>
      <c r="F9" s="28"/>
      <c r="G9" s="17"/>
      <c r="H9" s="3"/>
      <c r="I9" s="2"/>
      <c r="J9" s="29"/>
      <c r="K9" s="3"/>
      <c r="L9" s="17"/>
      <c r="M9" s="34"/>
      <c r="N9" s="3"/>
      <c r="O9" s="17"/>
      <c r="P9" s="3"/>
      <c r="Q9" s="2"/>
      <c r="R9" s="3"/>
      <c r="S9" s="3"/>
      <c r="T9" s="17"/>
      <c r="U9" s="8">
        <f t="shared" si="0"/>
        <v>0</v>
      </c>
      <c r="V9" s="8"/>
      <c r="W9" s="8"/>
      <c r="X9" s="8"/>
      <c r="Y9" s="8"/>
      <c r="Z9" s="8"/>
      <c r="AA9" s="8"/>
      <c r="AB9" s="8"/>
      <c r="AC9" s="8">
        <f t="shared" si="1"/>
        <v>0</v>
      </c>
      <c r="AD9" s="8"/>
      <c r="AE9" s="8"/>
      <c r="AF9" s="8"/>
      <c r="AG9" s="8"/>
      <c r="AH9" s="8"/>
      <c r="AI9" s="8"/>
      <c r="AJ9" s="8"/>
      <c r="AK9" s="8"/>
      <c r="AL9" s="8"/>
      <c r="AM9" s="8">
        <v>140244028</v>
      </c>
      <c r="AN9" s="8">
        <f t="shared" si="2"/>
        <v>140244028</v>
      </c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>
        <f>VLOOKUP(B9,[1]Hoja3!J$3:K$674,2,0)</f>
        <v>388190337</v>
      </c>
      <c r="BB9" s="8"/>
      <c r="BC9" s="8">
        <f t="shared" si="3"/>
        <v>528434365</v>
      </c>
      <c r="BD9" s="4"/>
      <c r="BE9" s="4">
        <f t="shared" si="4"/>
        <v>528434365</v>
      </c>
      <c r="BF9" s="30">
        <f t="shared" si="5"/>
        <v>528434365</v>
      </c>
      <c r="BG9" s="18">
        <f t="shared" si="6"/>
        <v>0</v>
      </c>
      <c r="BH9" s="23"/>
      <c r="BI9" s="23"/>
      <c r="BJ9" s="14"/>
      <c r="BK9" s="14"/>
      <c r="BL9" s="14"/>
      <c r="BM9" s="14"/>
      <c r="BN9" s="14"/>
    </row>
    <row r="10" spans="1:66" ht="15" customHeight="1" x14ac:dyDescent="0.2">
      <c r="A10" s="1">
        <v>8911801399</v>
      </c>
      <c r="B10" s="1">
        <v>891180139</v>
      </c>
      <c r="C10" s="15">
        <v>211341013</v>
      </c>
      <c r="D10" s="16" t="s">
        <v>594</v>
      </c>
      <c r="E10" s="41" t="s">
        <v>1616</v>
      </c>
      <c r="F10" s="28"/>
      <c r="G10" s="2"/>
      <c r="H10" s="3"/>
      <c r="I10" s="2"/>
      <c r="J10" s="29"/>
      <c r="K10" s="3"/>
      <c r="L10" s="2"/>
      <c r="M10" s="8"/>
      <c r="N10" s="3"/>
      <c r="O10" s="2"/>
      <c r="P10" s="3"/>
      <c r="Q10" s="2"/>
      <c r="R10" s="3"/>
      <c r="S10" s="3"/>
      <c r="T10" s="2"/>
      <c r="U10" s="8">
        <f t="shared" si="0"/>
        <v>0</v>
      </c>
      <c r="V10" s="8"/>
      <c r="W10" s="8"/>
      <c r="X10" s="8"/>
      <c r="Y10" s="8"/>
      <c r="Z10" s="8"/>
      <c r="AA10" s="8"/>
      <c r="AB10" s="8"/>
      <c r="AC10" s="8">
        <f t="shared" si="1"/>
        <v>0</v>
      </c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>
        <f t="shared" si="2"/>
        <v>0</v>
      </c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>
        <f>VLOOKUP(B10,[1]Hoja3!J$3:K$674,2,0)</f>
        <v>160601269</v>
      </c>
      <c r="BB10" s="8"/>
      <c r="BC10" s="8">
        <f t="shared" si="3"/>
        <v>160601269</v>
      </c>
      <c r="BD10" s="4"/>
      <c r="BE10" s="4">
        <f t="shared" si="4"/>
        <v>160601269</v>
      </c>
      <c r="BF10" s="30">
        <f t="shared" si="5"/>
        <v>160601269</v>
      </c>
      <c r="BG10" s="18">
        <f t="shared" si="6"/>
        <v>0</v>
      </c>
      <c r="BH10" s="23"/>
      <c r="BI10" s="23"/>
      <c r="BJ10" s="23"/>
    </row>
    <row r="11" spans="1:66" ht="15" customHeight="1" x14ac:dyDescent="0.2">
      <c r="A11" s="1">
        <v>8906801494</v>
      </c>
      <c r="B11" s="1">
        <v>890680149</v>
      </c>
      <c r="C11" s="15">
        <v>210125001</v>
      </c>
      <c r="D11" s="16" t="s">
        <v>460</v>
      </c>
      <c r="E11" s="41" t="s">
        <v>1487</v>
      </c>
      <c r="F11" s="28"/>
      <c r="G11" s="17"/>
      <c r="H11" s="3"/>
      <c r="I11" s="2"/>
      <c r="J11" s="29"/>
      <c r="K11" s="3"/>
      <c r="L11" s="17"/>
      <c r="M11" s="34"/>
      <c r="N11" s="3"/>
      <c r="O11" s="17"/>
      <c r="P11" s="3"/>
      <c r="Q11" s="2"/>
      <c r="R11" s="3"/>
      <c r="S11" s="3"/>
      <c r="T11" s="17"/>
      <c r="U11" s="8">
        <f t="shared" si="0"/>
        <v>0</v>
      </c>
      <c r="V11" s="8"/>
      <c r="W11" s="8"/>
      <c r="X11" s="8"/>
      <c r="Y11" s="8"/>
      <c r="Z11" s="8"/>
      <c r="AA11" s="8"/>
      <c r="AB11" s="8"/>
      <c r="AC11" s="8">
        <f t="shared" si="1"/>
        <v>0</v>
      </c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>
        <f t="shared" si="2"/>
        <v>0</v>
      </c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>
        <v>67018435</v>
      </c>
      <c r="AZ11" s="8"/>
      <c r="BA11" s="8"/>
      <c r="BB11" s="8"/>
      <c r="BC11" s="8">
        <f t="shared" si="3"/>
        <v>67018435</v>
      </c>
      <c r="BD11" s="4">
        <v>67018435</v>
      </c>
      <c r="BE11" s="4">
        <f t="shared" si="4"/>
        <v>0</v>
      </c>
      <c r="BF11" s="30">
        <f t="shared" si="5"/>
        <v>67018435</v>
      </c>
      <c r="BG11" s="18">
        <f t="shared" si="6"/>
        <v>0</v>
      </c>
      <c r="BH11" s="23"/>
      <c r="BI11" s="23"/>
      <c r="BJ11" s="14"/>
      <c r="BK11" s="14"/>
      <c r="BL11" s="14"/>
      <c r="BM11" s="14"/>
      <c r="BN11" s="14"/>
    </row>
    <row r="12" spans="1:66" ht="15" customHeight="1" x14ac:dyDescent="0.2">
      <c r="A12" s="1">
        <v>8000965614</v>
      </c>
      <c r="B12" s="1">
        <v>800096561</v>
      </c>
      <c r="C12" s="15">
        <v>211120011</v>
      </c>
      <c r="D12" s="16" t="s">
        <v>413</v>
      </c>
      <c r="E12" s="41" t="s">
        <v>1441</v>
      </c>
      <c r="F12" s="28"/>
      <c r="G12" s="2"/>
      <c r="H12" s="3"/>
      <c r="I12" s="2"/>
      <c r="J12" s="29"/>
      <c r="K12" s="3"/>
      <c r="L12" s="2"/>
      <c r="M12" s="8"/>
      <c r="N12" s="3"/>
      <c r="O12" s="2"/>
      <c r="P12" s="3"/>
      <c r="Q12" s="2"/>
      <c r="R12" s="3"/>
      <c r="S12" s="3"/>
      <c r="T12" s="2"/>
      <c r="U12" s="8">
        <f t="shared" si="0"/>
        <v>0</v>
      </c>
      <c r="V12" s="8"/>
      <c r="W12" s="8"/>
      <c r="X12" s="8"/>
      <c r="Y12" s="8"/>
      <c r="Z12" s="8"/>
      <c r="AA12" s="8"/>
      <c r="AB12" s="8"/>
      <c r="AC12" s="8">
        <f t="shared" si="1"/>
        <v>0</v>
      </c>
      <c r="AD12" s="8"/>
      <c r="AE12" s="8"/>
      <c r="AF12" s="8"/>
      <c r="AG12" s="8"/>
      <c r="AH12" s="8"/>
      <c r="AI12" s="8"/>
      <c r="AJ12" s="8"/>
      <c r="AK12" s="8"/>
      <c r="AL12" s="8"/>
      <c r="AM12" s="8">
        <v>486427452</v>
      </c>
      <c r="AN12" s="8">
        <f t="shared" si="2"/>
        <v>486427452</v>
      </c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>
        <v>757350000</v>
      </c>
      <c r="AZ12" s="8"/>
      <c r="BA12" s="8">
        <f>VLOOKUP(B12,[1]Hoja3!J$3:K$674,2,0)</f>
        <v>868492321</v>
      </c>
      <c r="BB12" s="8"/>
      <c r="BC12" s="8">
        <f t="shared" si="3"/>
        <v>2112269773</v>
      </c>
      <c r="BD12" s="4">
        <v>757350000</v>
      </c>
      <c r="BE12" s="4">
        <f t="shared" si="4"/>
        <v>1354919773</v>
      </c>
      <c r="BF12" s="30">
        <f t="shared" si="5"/>
        <v>2112269773</v>
      </c>
      <c r="BG12" s="18">
        <f t="shared" si="6"/>
        <v>0</v>
      </c>
      <c r="BH12" s="23"/>
      <c r="BI12" s="23"/>
      <c r="BJ12" s="23"/>
    </row>
    <row r="13" spans="1:66" ht="15" customHeight="1" x14ac:dyDescent="0.2">
      <c r="A13" s="1">
        <v>8902109281</v>
      </c>
      <c r="B13" s="1">
        <v>890210928</v>
      </c>
      <c r="C13" s="15">
        <v>211368013</v>
      </c>
      <c r="D13" s="16" t="s">
        <v>812</v>
      </c>
      <c r="E13" s="41" t="s">
        <v>1830</v>
      </c>
      <c r="F13" s="28"/>
      <c r="G13" s="2"/>
      <c r="H13" s="3"/>
      <c r="I13" s="2"/>
      <c r="J13" s="29"/>
      <c r="K13" s="3"/>
      <c r="L13" s="2"/>
      <c r="M13" s="8"/>
      <c r="N13" s="3"/>
      <c r="O13" s="2"/>
      <c r="P13" s="3"/>
      <c r="Q13" s="2"/>
      <c r="R13" s="3"/>
      <c r="S13" s="3"/>
      <c r="T13" s="2"/>
      <c r="U13" s="8">
        <f t="shared" si="0"/>
        <v>0</v>
      </c>
      <c r="V13" s="8"/>
      <c r="W13" s="8"/>
      <c r="X13" s="8"/>
      <c r="Y13" s="8"/>
      <c r="Z13" s="8"/>
      <c r="AA13" s="8"/>
      <c r="AB13" s="8"/>
      <c r="AC13" s="8">
        <f t="shared" si="1"/>
        <v>0</v>
      </c>
      <c r="AD13" s="8"/>
      <c r="AE13" s="8"/>
      <c r="AF13" s="8"/>
      <c r="AG13" s="8"/>
      <c r="AH13" s="8"/>
      <c r="AI13" s="8"/>
      <c r="AJ13" s="8"/>
      <c r="AK13" s="8"/>
      <c r="AL13" s="8"/>
      <c r="AM13" s="8">
        <v>19292796</v>
      </c>
      <c r="AN13" s="8">
        <f t="shared" si="2"/>
        <v>19292796</v>
      </c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>
        <f t="shared" si="3"/>
        <v>19292796</v>
      </c>
      <c r="BD13" s="4"/>
      <c r="BE13" s="4">
        <f t="shared" si="4"/>
        <v>19292796</v>
      </c>
      <c r="BF13" s="30">
        <f t="shared" si="5"/>
        <v>19292796</v>
      </c>
      <c r="BG13" s="18">
        <f t="shared" si="6"/>
        <v>0</v>
      </c>
      <c r="BH13" s="23"/>
      <c r="BI13" s="23"/>
      <c r="BJ13" s="23"/>
    </row>
    <row r="14" spans="1:66" ht="15" customHeight="1" x14ac:dyDescent="0.2">
      <c r="A14" s="1">
        <v>8908011320</v>
      </c>
      <c r="B14" s="1">
        <v>890801132</v>
      </c>
      <c r="C14" s="15">
        <v>211317013</v>
      </c>
      <c r="D14" s="16" t="s">
        <v>336</v>
      </c>
      <c r="E14" s="41" t="s">
        <v>1367</v>
      </c>
      <c r="F14" s="28"/>
      <c r="G14" s="2"/>
      <c r="H14" s="3"/>
      <c r="I14" s="2"/>
      <c r="J14" s="29"/>
      <c r="K14" s="3"/>
      <c r="L14" s="2"/>
      <c r="M14" s="8"/>
      <c r="N14" s="3"/>
      <c r="O14" s="2"/>
      <c r="P14" s="3"/>
      <c r="Q14" s="2"/>
      <c r="R14" s="3"/>
      <c r="S14" s="3"/>
      <c r="T14" s="2"/>
      <c r="U14" s="8">
        <f t="shared" si="0"/>
        <v>0</v>
      </c>
      <c r="V14" s="8"/>
      <c r="W14" s="8"/>
      <c r="X14" s="8"/>
      <c r="Y14" s="8"/>
      <c r="Z14" s="8"/>
      <c r="AA14" s="8"/>
      <c r="AB14" s="8"/>
      <c r="AC14" s="8">
        <f t="shared" si="1"/>
        <v>0</v>
      </c>
      <c r="AD14" s="8"/>
      <c r="AE14" s="8"/>
      <c r="AF14" s="8"/>
      <c r="AG14" s="8"/>
      <c r="AH14" s="8"/>
      <c r="AI14" s="8"/>
      <c r="AJ14" s="8"/>
      <c r="AK14" s="8"/>
      <c r="AL14" s="8"/>
      <c r="AM14" s="8">
        <v>315048858</v>
      </c>
      <c r="AN14" s="8">
        <f t="shared" si="2"/>
        <v>315048858</v>
      </c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>
        <v>161721530</v>
      </c>
      <c r="AZ14" s="8"/>
      <c r="BA14" s="8"/>
      <c r="BB14" s="8"/>
      <c r="BC14" s="8">
        <f t="shared" si="3"/>
        <v>476770388</v>
      </c>
      <c r="BD14" s="4">
        <v>161721530</v>
      </c>
      <c r="BE14" s="4">
        <f t="shared" si="4"/>
        <v>315048858</v>
      </c>
      <c r="BF14" s="30">
        <f t="shared" si="5"/>
        <v>476770388</v>
      </c>
      <c r="BG14" s="18">
        <f t="shared" si="6"/>
        <v>0</v>
      </c>
      <c r="BH14" s="23"/>
      <c r="BI14" s="23"/>
      <c r="BJ14" s="23"/>
    </row>
    <row r="15" spans="1:66" ht="15" customHeight="1" x14ac:dyDescent="0.2">
      <c r="A15" s="1">
        <v>8918552009</v>
      </c>
      <c r="B15" s="1">
        <v>891855200</v>
      </c>
      <c r="C15" s="15">
        <v>211085010</v>
      </c>
      <c r="D15" s="16" t="s">
        <v>956</v>
      </c>
      <c r="E15" s="41" t="s">
        <v>2017</v>
      </c>
      <c r="F15" s="28"/>
      <c r="G15" s="2"/>
      <c r="H15" s="3"/>
      <c r="I15" s="2"/>
      <c r="J15" s="29"/>
      <c r="K15" s="3"/>
      <c r="L15" s="2"/>
      <c r="M15" s="8"/>
      <c r="N15" s="3"/>
      <c r="O15" s="2"/>
      <c r="P15" s="3"/>
      <c r="Q15" s="2"/>
      <c r="R15" s="3"/>
      <c r="S15" s="3"/>
      <c r="T15" s="2"/>
      <c r="U15" s="8">
        <f t="shared" si="0"/>
        <v>0</v>
      </c>
      <c r="V15" s="8"/>
      <c r="W15" s="8"/>
      <c r="X15" s="8"/>
      <c r="Y15" s="8"/>
      <c r="Z15" s="8"/>
      <c r="AA15" s="8"/>
      <c r="AB15" s="8"/>
      <c r="AC15" s="8">
        <f t="shared" si="1"/>
        <v>0</v>
      </c>
      <c r="AD15" s="8"/>
      <c r="AE15" s="8"/>
      <c r="AF15" s="8"/>
      <c r="AG15" s="8"/>
      <c r="AH15" s="8"/>
      <c r="AI15" s="8"/>
      <c r="AJ15" s="8"/>
      <c r="AK15" s="8"/>
      <c r="AL15" s="8"/>
      <c r="AM15" s="8">
        <v>552814024</v>
      </c>
      <c r="AN15" s="8">
        <f t="shared" si="2"/>
        <v>552814024</v>
      </c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>
        <v>235416770</v>
      </c>
      <c r="AZ15" s="8"/>
      <c r="BA15" s="8"/>
      <c r="BB15" s="8"/>
      <c r="BC15" s="8">
        <f t="shared" si="3"/>
        <v>788230794</v>
      </c>
      <c r="BD15" s="4">
        <v>235416770</v>
      </c>
      <c r="BE15" s="4">
        <f t="shared" si="4"/>
        <v>552814024</v>
      </c>
      <c r="BF15" s="30">
        <f t="shared" si="5"/>
        <v>788230794</v>
      </c>
      <c r="BG15" s="18">
        <f t="shared" si="6"/>
        <v>0</v>
      </c>
      <c r="BH15" s="23"/>
      <c r="BI15" s="23"/>
      <c r="BJ15" s="23"/>
    </row>
    <row r="16" spans="1:66" ht="15" customHeight="1" x14ac:dyDescent="0.2">
      <c r="A16" s="1">
        <v>8000965581</v>
      </c>
      <c r="B16" s="1">
        <v>800096558</v>
      </c>
      <c r="C16" s="15">
        <v>211320013</v>
      </c>
      <c r="D16" s="16" t="s">
        <v>414</v>
      </c>
      <c r="E16" s="41" t="s">
        <v>1442</v>
      </c>
      <c r="F16" s="28"/>
      <c r="G16" s="2"/>
      <c r="H16" s="3"/>
      <c r="I16" s="2"/>
      <c r="J16" s="29"/>
      <c r="K16" s="3"/>
      <c r="L16" s="2"/>
      <c r="M16" s="8"/>
      <c r="N16" s="3"/>
      <c r="O16" s="2"/>
      <c r="P16" s="3"/>
      <c r="Q16" s="2"/>
      <c r="R16" s="3"/>
      <c r="S16" s="3"/>
      <c r="T16" s="2"/>
      <c r="U16" s="8">
        <f t="shared" si="0"/>
        <v>0</v>
      </c>
      <c r="V16" s="8"/>
      <c r="W16" s="8"/>
      <c r="X16" s="8"/>
      <c r="Y16" s="8"/>
      <c r="Z16" s="8"/>
      <c r="AA16" s="8"/>
      <c r="AB16" s="8"/>
      <c r="AC16" s="8">
        <f t="shared" si="1"/>
        <v>0</v>
      </c>
      <c r="AD16" s="8"/>
      <c r="AE16" s="8"/>
      <c r="AF16" s="8"/>
      <c r="AG16" s="8"/>
      <c r="AH16" s="8"/>
      <c r="AI16" s="8"/>
      <c r="AJ16" s="8"/>
      <c r="AK16" s="8"/>
      <c r="AL16" s="8"/>
      <c r="AM16" s="8">
        <v>139096491</v>
      </c>
      <c r="AN16" s="8">
        <f t="shared" si="2"/>
        <v>139096491</v>
      </c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>
        <v>554512040</v>
      </c>
      <c r="AZ16" s="8"/>
      <c r="BA16" s="8">
        <f>VLOOKUP(B16,[1]Hoja3!J$3:K$674,2,0)</f>
        <v>827423507</v>
      </c>
      <c r="BB16" s="8"/>
      <c r="BC16" s="8">
        <f t="shared" si="3"/>
        <v>1521032038</v>
      </c>
      <c r="BD16" s="4">
        <v>554512040</v>
      </c>
      <c r="BE16" s="4">
        <f t="shared" si="4"/>
        <v>966519998</v>
      </c>
      <c r="BF16" s="30">
        <f t="shared" si="5"/>
        <v>1521032038</v>
      </c>
      <c r="BG16" s="18">
        <f t="shared" si="6"/>
        <v>0</v>
      </c>
      <c r="BH16" s="23"/>
      <c r="BI16" s="23"/>
      <c r="BJ16" s="23"/>
    </row>
    <row r="17" spans="1:66" ht="15" customHeight="1" x14ac:dyDescent="0.2">
      <c r="A17" s="1">
        <v>8911800701</v>
      </c>
      <c r="B17" s="1">
        <v>891180070</v>
      </c>
      <c r="C17" s="15">
        <v>211641016</v>
      </c>
      <c r="D17" s="16" t="s">
        <v>595</v>
      </c>
      <c r="E17" s="41" t="s">
        <v>1617</v>
      </c>
      <c r="F17" s="28"/>
      <c r="G17" s="2"/>
      <c r="H17" s="3"/>
      <c r="I17" s="2"/>
      <c r="J17" s="29"/>
      <c r="K17" s="3"/>
      <c r="L17" s="2"/>
      <c r="M17" s="8"/>
      <c r="N17" s="3"/>
      <c r="O17" s="2"/>
      <c r="P17" s="3"/>
      <c r="Q17" s="2"/>
      <c r="R17" s="3"/>
      <c r="S17" s="3"/>
      <c r="T17" s="2"/>
      <c r="U17" s="8">
        <f t="shared" si="0"/>
        <v>0</v>
      </c>
      <c r="V17" s="8"/>
      <c r="W17" s="8"/>
      <c r="X17" s="8"/>
      <c r="Y17" s="8"/>
      <c r="Z17" s="8"/>
      <c r="AA17" s="8"/>
      <c r="AB17" s="8"/>
      <c r="AC17" s="8">
        <f t="shared" si="1"/>
        <v>0</v>
      </c>
      <c r="AD17" s="8"/>
      <c r="AE17" s="8"/>
      <c r="AF17" s="8"/>
      <c r="AG17" s="8"/>
      <c r="AH17" s="8"/>
      <c r="AI17" s="8"/>
      <c r="AJ17" s="8"/>
      <c r="AK17" s="8"/>
      <c r="AL17" s="8"/>
      <c r="AM17" s="8">
        <v>65203896</v>
      </c>
      <c r="AN17" s="8">
        <f t="shared" si="2"/>
        <v>65203896</v>
      </c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>
        <v>123885245</v>
      </c>
      <c r="AZ17" s="8"/>
      <c r="BA17" s="8">
        <f>VLOOKUP(B17,[1]Hoja3!J$3:K$674,2,0)</f>
        <v>197075971</v>
      </c>
      <c r="BB17" s="8"/>
      <c r="BC17" s="8">
        <f t="shared" si="3"/>
        <v>386165112</v>
      </c>
      <c r="BD17" s="4">
        <v>123885245</v>
      </c>
      <c r="BE17" s="4">
        <f t="shared" si="4"/>
        <v>262279867</v>
      </c>
      <c r="BF17" s="30">
        <f t="shared" si="5"/>
        <v>386165112</v>
      </c>
      <c r="BG17" s="18">
        <f t="shared" si="6"/>
        <v>0</v>
      </c>
      <c r="BH17" s="23"/>
      <c r="BI17" s="23"/>
      <c r="BJ17" s="23"/>
    </row>
    <row r="18" spans="1:66" ht="15" customHeight="1" x14ac:dyDescent="0.2">
      <c r="A18" s="1">
        <v>8999994500</v>
      </c>
      <c r="B18" s="1">
        <v>899999450</v>
      </c>
      <c r="C18" s="15">
        <v>211925019</v>
      </c>
      <c r="D18" s="16" t="s">
        <v>461</v>
      </c>
      <c r="E18" s="41" t="s">
        <v>1488</v>
      </c>
      <c r="F18" s="28"/>
      <c r="G18" s="2"/>
      <c r="H18" s="3"/>
      <c r="I18" s="2"/>
      <c r="J18" s="29"/>
      <c r="K18" s="3"/>
      <c r="L18" s="2"/>
      <c r="M18" s="8"/>
      <c r="N18" s="3"/>
      <c r="O18" s="2"/>
      <c r="P18" s="3"/>
      <c r="Q18" s="2"/>
      <c r="R18" s="3"/>
      <c r="S18" s="3"/>
      <c r="T18" s="2"/>
      <c r="U18" s="8">
        <f t="shared" si="0"/>
        <v>0</v>
      </c>
      <c r="V18" s="8"/>
      <c r="W18" s="8"/>
      <c r="X18" s="8"/>
      <c r="Y18" s="8"/>
      <c r="Z18" s="8"/>
      <c r="AA18" s="8"/>
      <c r="AB18" s="8"/>
      <c r="AC18" s="8">
        <f t="shared" si="1"/>
        <v>0</v>
      </c>
      <c r="AD18" s="8"/>
      <c r="AE18" s="8"/>
      <c r="AF18" s="8"/>
      <c r="AG18" s="8"/>
      <c r="AH18" s="8"/>
      <c r="AI18" s="8"/>
      <c r="AJ18" s="8"/>
      <c r="AK18" s="8"/>
      <c r="AL18" s="8"/>
      <c r="AM18" s="8">
        <v>81729133</v>
      </c>
      <c r="AN18" s="8">
        <f t="shared" si="2"/>
        <v>81729133</v>
      </c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>
        <v>38479870</v>
      </c>
      <c r="AZ18" s="8"/>
      <c r="BA18" s="8"/>
      <c r="BB18" s="8"/>
      <c r="BC18" s="8">
        <f t="shared" si="3"/>
        <v>120209003</v>
      </c>
      <c r="BD18" s="4">
        <v>38479870</v>
      </c>
      <c r="BE18" s="4">
        <f t="shared" si="4"/>
        <v>81729133</v>
      </c>
      <c r="BF18" s="30">
        <f t="shared" si="5"/>
        <v>120209003</v>
      </c>
      <c r="BG18" s="18">
        <f t="shared" si="6"/>
        <v>0</v>
      </c>
      <c r="BH18" s="23"/>
      <c r="BI18" s="23"/>
      <c r="BJ18" s="23"/>
    </row>
    <row r="19" spans="1:66" ht="15" customHeight="1" x14ac:dyDescent="0.2">
      <c r="A19" s="1">
        <v>8911904318</v>
      </c>
      <c r="B19" s="1">
        <v>891190431</v>
      </c>
      <c r="C19" s="15">
        <v>212918029</v>
      </c>
      <c r="D19" s="16" t="s">
        <v>362</v>
      </c>
      <c r="E19" s="41" t="s">
        <v>1391</v>
      </c>
      <c r="F19" s="28"/>
      <c r="G19" s="2"/>
      <c r="H19" s="3"/>
      <c r="I19" s="2"/>
      <c r="J19" s="29"/>
      <c r="K19" s="3"/>
      <c r="L19" s="2"/>
      <c r="M19" s="8"/>
      <c r="N19" s="3"/>
      <c r="O19" s="2"/>
      <c r="P19" s="3"/>
      <c r="Q19" s="2"/>
      <c r="R19" s="3"/>
      <c r="S19" s="3"/>
      <c r="T19" s="2"/>
      <c r="U19" s="8">
        <f t="shared" si="0"/>
        <v>0</v>
      </c>
      <c r="V19" s="8"/>
      <c r="W19" s="8"/>
      <c r="X19" s="8"/>
      <c r="Y19" s="8"/>
      <c r="Z19" s="8"/>
      <c r="AA19" s="8"/>
      <c r="AB19" s="8"/>
      <c r="AC19" s="8">
        <f t="shared" si="1"/>
        <v>0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>
        <f t="shared" si="2"/>
        <v>0</v>
      </c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>
        <v>52123625</v>
      </c>
      <c r="AZ19" s="8"/>
      <c r="BA19" s="8">
        <f>VLOOKUP(B19,[1]Hoja3!J$3:K$674,2,0)</f>
        <v>89801185</v>
      </c>
      <c r="BB19" s="8"/>
      <c r="BC19" s="8">
        <f t="shared" si="3"/>
        <v>141924810</v>
      </c>
      <c r="BD19" s="4">
        <v>52123625</v>
      </c>
      <c r="BE19" s="4">
        <f t="shared" si="4"/>
        <v>89801185</v>
      </c>
      <c r="BF19" s="30">
        <f t="shared" si="5"/>
        <v>141924810</v>
      </c>
      <c r="BG19" s="18">
        <f t="shared" si="6"/>
        <v>0</v>
      </c>
      <c r="BH19" s="23"/>
      <c r="BI19" s="23"/>
      <c r="BJ19" s="23"/>
    </row>
    <row r="20" spans="1:66" s="19" customFormat="1" ht="15" customHeight="1" x14ac:dyDescent="0.2">
      <c r="A20" s="1">
        <v>8390003600</v>
      </c>
      <c r="B20" s="1">
        <v>839000360</v>
      </c>
      <c r="C20" s="15">
        <v>213544035</v>
      </c>
      <c r="D20" s="16" t="s">
        <v>630</v>
      </c>
      <c r="E20" s="41" t="s">
        <v>1649</v>
      </c>
      <c r="F20" s="28"/>
      <c r="G20" s="2"/>
      <c r="H20" s="3"/>
      <c r="I20" s="2"/>
      <c r="J20" s="29"/>
      <c r="K20" s="3"/>
      <c r="L20" s="2"/>
      <c r="M20" s="8"/>
      <c r="N20" s="3"/>
      <c r="O20" s="2"/>
      <c r="P20" s="3"/>
      <c r="Q20" s="2"/>
      <c r="R20" s="3"/>
      <c r="S20" s="3"/>
      <c r="T20" s="2"/>
      <c r="U20" s="8">
        <f t="shared" si="0"/>
        <v>0</v>
      </c>
      <c r="V20" s="8"/>
      <c r="W20" s="8"/>
      <c r="X20" s="8"/>
      <c r="Y20" s="8"/>
      <c r="Z20" s="8"/>
      <c r="AA20" s="8"/>
      <c r="AB20" s="8"/>
      <c r="AC20" s="8">
        <f t="shared" si="1"/>
        <v>0</v>
      </c>
      <c r="AD20" s="8"/>
      <c r="AE20" s="8"/>
      <c r="AF20" s="8"/>
      <c r="AG20" s="8"/>
      <c r="AH20" s="8"/>
      <c r="AI20" s="8"/>
      <c r="AJ20" s="8"/>
      <c r="AK20" s="8"/>
      <c r="AL20" s="8"/>
      <c r="AM20" s="8">
        <v>241481397</v>
      </c>
      <c r="AN20" s="8">
        <f t="shared" si="2"/>
        <v>241481397</v>
      </c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>
        <v>290027665</v>
      </c>
      <c r="AZ20" s="8"/>
      <c r="BA20" s="8"/>
      <c r="BB20" s="8"/>
      <c r="BC20" s="8">
        <f t="shared" si="3"/>
        <v>531509062</v>
      </c>
      <c r="BD20" s="4">
        <v>290027665</v>
      </c>
      <c r="BE20" s="4">
        <f t="shared" si="4"/>
        <v>241481397</v>
      </c>
      <c r="BF20" s="30">
        <f t="shared" si="5"/>
        <v>531509062</v>
      </c>
      <c r="BG20" s="18">
        <f t="shared" si="6"/>
        <v>0</v>
      </c>
      <c r="BH20" s="23"/>
      <c r="BI20" s="23"/>
      <c r="BJ20" s="23"/>
      <c r="BK20" s="12"/>
      <c r="BL20" s="12"/>
      <c r="BM20" s="12"/>
      <c r="BN20" s="12"/>
    </row>
    <row r="21" spans="1:66" ht="15" customHeight="1" x14ac:dyDescent="0.2">
      <c r="A21" s="1">
        <v>8000994555</v>
      </c>
      <c r="B21" s="1">
        <v>800099455</v>
      </c>
      <c r="C21" s="15">
        <v>212068020</v>
      </c>
      <c r="D21" s="16" t="s">
        <v>813</v>
      </c>
      <c r="E21" s="41" t="s">
        <v>1831</v>
      </c>
      <c r="F21" s="28"/>
      <c r="G21" s="2"/>
      <c r="H21" s="3"/>
      <c r="I21" s="2"/>
      <c r="J21" s="29"/>
      <c r="K21" s="3"/>
      <c r="L21" s="2"/>
      <c r="M21" s="8"/>
      <c r="N21" s="3"/>
      <c r="O21" s="2"/>
      <c r="P21" s="3"/>
      <c r="Q21" s="2"/>
      <c r="R21" s="3"/>
      <c r="S21" s="3"/>
      <c r="T21" s="2"/>
      <c r="U21" s="8">
        <f t="shared" si="0"/>
        <v>0</v>
      </c>
      <c r="V21" s="8"/>
      <c r="W21" s="8"/>
      <c r="X21" s="8"/>
      <c r="Y21" s="8"/>
      <c r="Z21" s="8"/>
      <c r="AA21" s="8"/>
      <c r="AB21" s="8"/>
      <c r="AC21" s="8">
        <f t="shared" si="1"/>
        <v>0</v>
      </c>
      <c r="AD21" s="8"/>
      <c r="AE21" s="8"/>
      <c r="AF21" s="8"/>
      <c r="AG21" s="8"/>
      <c r="AH21" s="8"/>
      <c r="AI21" s="8"/>
      <c r="AJ21" s="8"/>
      <c r="AK21" s="8"/>
      <c r="AL21" s="8"/>
      <c r="AM21" s="8">
        <v>16089164</v>
      </c>
      <c r="AN21" s="8">
        <f t="shared" si="2"/>
        <v>16089164</v>
      </c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>
        <v>30981420</v>
      </c>
      <c r="AZ21" s="8"/>
      <c r="BA21" s="8">
        <f>VLOOKUP(B21,[1]Hoja3!J$3:K$674,2,0)</f>
        <v>41702603</v>
      </c>
      <c r="BB21" s="8"/>
      <c r="BC21" s="8">
        <f t="shared" si="3"/>
        <v>88773187</v>
      </c>
      <c r="BD21" s="4">
        <v>30981420</v>
      </c>
      <c r="BE21" s="4">
        <f t="shared" si="4"/>
        <v>57791767</v>
      </c>
      <c r="BF21" s="30">
        <f t="shared" si="5"/>
        <v>88773187</v>
      </c>
      <c r="BG21" s="18">
        <f t="shared" si="6"/>
        <v>0</v>
      </c>
      <c r="BH21" s="23"/>
      <c r="BI21" s="23"/>
      <c r="BJ21" s="23"/>
    </row>
    <row r="22" spans="1:66" ht="15" customHeight="1" x14ac:dyDescent="0.2">
      <c r="A22" s="1">
        <v>8000990545</v>
      </c>
      <c r="B22" s="1">
        <v>800099054</v>
      </c>
      <c r="C22" s="15">
        <v>211952019</v>
      </c>
      <c r="D22" s="16" t="s">
        <v>692</v>
      </c>
      <c r="E22" s="41" t="s">
        <v>1715</v>
      </c>
      <c r="F22" s="28"/>
      <c r="G22" s="2"/>
      <c r="H22" s="3"/>
      <c r="I22" s="2"/>
      <c r="J22" s="29"/>
      <c r="K22" s="3"/>
      <c r="L22" s="2"/>
      <c r="M22" s="8"/>
      <c r="N22" s="3"/>
      <c r="O22" s="2"/>
      <c r="P22" s="3"/>
      <c r="Q22" s="2"/>
      <c r="R22" s="3"/>
      <c r="S22" s="3"/>
      <c r="T22" s="2"/>
      <c r="U22" s="8">
        <f t="shared" si="0"/>
        <v>0</v>
      </c>
      <c r="V22" s="8"/>
      <c r="W22" s="8"/>
      <c r="X22" s="8"/>
      <c r="Y22" s="8"/>
      <c r="Z22" s="8"/>
      <c r="AA22" s="8"/>
      <c r="AB22" s="8"/>
      <c r="AC22" s="8">
        <f t="shared" si="1"/>
        <v>0</v>
      </c>
      <c r="AD22" s="8"/>
      <c r="AE22" s="8"/>
      <c r="AF22" s="8"/>
      <c r="AG22" s="8"/>
      <c r="AH22" s="8"/>
      <c r="AI22" s="8"/>
      <c r="AJ22" s="8"/>
      <c r="AK22" s="8"/>
      <c r="AL22" s="8"/>
      <c r="AM22" s="8">
        <v>84198709</v>
      </c>
      <c r="AN22" s="8">
        <f t="shared" si="2"/>
        <v>84198709</v>
      </c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>
        <f>VLOOKUP(B22,[1]Hoja3!J$3:K$674,2,0)</f>
        <v>44158879</v>
      </c>
      <c r="BB22" s="8"/>
      <c r="BC22" s="8">
        <f t="shared" si="3"/>
        <v>128357588</v>
      </c>
      <c r="BD22" s="4"/>
      <c r="BE22" s="4">
        <f t="shared" si="4"/>
        <v>128357588</v>
      </c>
      <c r="BF22" s="30">
        <f t="shared" si="5"/>
        <v>128357588</v>
      </c>
      <c r="BG22" s="18">
        <f t="shared" si="6"/>
        <v>0</v>
      </c>
      <c r="BH22" s="23"/>
      <c r="BI22" s="23"/>
      <c r="BJ22" s="23"/>
    </row>
    <row r="23" spans="1:66" ht="15" customHeight="1" x14ac:dyDescent="0.2">
      <c r="A23" s="1">
        <v>8919010790</v>
      </c>
      <c r="B23" s="1">
        <v>891901079</v>
      </c>
      <c r="C23" s="15">
        <v>212076020</v>
      </c>
      <c r="D23" s="16" t="s">
        <v>912</v>
      </c>
      <c r="E23" s="41" t="s">
        <v>1974</v>
      </c>
      <c r="F23" s="28"/>
      <c r="G23" s="2"/>
      <c r="H23" s="3"/>
      <c r="I23" s="2"/>
      <c r="J23" s="29"/>
      <c r="K23" s="3"/>
      <c r="L23" s="2"/>
      <c r="M23" s="8"/>
      <c r="N23" s="3"/>
      <c r="O23" s="2"/>
      <c r="P23" s="3"/>
      <c r="Q23" s="2"/>
      <c r="R23" s="3"/>
      <c r="S23" s="3"/>
      <c r="T23" s="2"/>
      <c r="U23" s="8">
        <f t="shared" si="0"/>
        <v>0</v>
      </c>
      <c r="V23" s="8"/>
      <c r="W23" s="8"/>
      <c r="X23" s="8"/>
      <c r="Y23" s="8"/>
      <c r="Z23" s="8"/>
      <c r="AA23" s="8"/>
      <c r="AB23" s="8"/>
      <c r="AC23" s="8">
        <f t="shared" si="1"/>
        <v>0</v>
      </c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>
        <f t="shared" si="2"/>
        <v>0</v>
      </c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>
        <v>99623840</v>
      </c>
      <c r="AZ23" s="8"/>
      <c r="BA23" s="8">
        <f>VLOOKUP(B23,[1]Hoja3!J$3:K$674,2,0)</f>
        <v>156802722</v>
      </c>
      <c r="BB23" s="8"/>
      <c r="BC23" s="8">
        <f t="shared" si="3"/>
        <v>256426562</v>
      </c>
      <c r="BD23" s="4">
        <v>99623840</v>
      </c>
      <c r="BE23" s="4">
        <f t="shared" si="4"/>
        <v>156802722</v>
      </c>
      <c r="BF23" s="30">
        <f t="shared" si="5"/>
        <v>256426562</v>
      </c>
      <c r="BG23" s="18">
        <f t="shared" si="6"/>
        <v>0</v>
      </c>
      <c r="BH23" s="23"/>
      <c r="BI23" s="23"/>
      <c r="BJ23" s="23"/>
    </row>
    <row r="24" spans="1:66" ht="15" customHeight="1" x14ac:dyDescent="0.2">
      <c r="A24" s="1">
        <v>8000990520</v>
      </c>
      <c r="B24" s="1">
        <v>800099052</v>
      </c>
      <c r="C24" s="15">
        <v>212252022</v>
      </c>
      <c r="D24" s="16" t="s">
        <v>693</v>
      </c>
      <c r="E24" s="41" t="s">
        <v>1716</v>
      </c>
      <c r="F24" s="28"/>
      <c r="G24" s="2"/>
      <c r="H24" s="3"/>
      <c r="I24" s="2"/>
      <c r="J24" s="29"/>
      <c r="K24" s="3"/>
      <c r="L24" s="2"/>
      <c r="M24" s="8"/>
      <c r="N24" s="3"/>
      <c r="O24" s="2"/>
      <c r="P24" s="3"/>
      <c r="Q24" s="2"/>
      <c r="R24" s="3"/>
      <c r="S24" s="3"/>
      <c r="T24" s="2"/>
      <c r="U24" s="8">
        <f t="shared" si="0"/>
        <v>0</v>
      </c>
      <c r="V24" s="8"/>
      <c r="W24" s="8"/>
      <c r="X24" s="8"/>
      <c r="Y24" s="8"/>
      <c r="Z24" s="8"/>
      <c r="AA24" s="8"/>
      <c r="AB24" s="8"/>
      <c r="AC24" s="8">
        <f t="shared" si="1"/>
        <v>0</v>
      </c>
      <c r="AD24" s="8"/>
      <c r="AE24" s="8"/>
      <c r="AF24" s="8"/>
      <c r="AG24" s="8"/>
      <c r="AH24" s="8"/>
      <c r="AI24" s="8"/>
      <c r="AJ24" s="8"/>
      <c r="AK24" s="8"/>
      <c r="AL24" s="8"/>
      <c r="AM24" s="8">
        <v>130677857</v>
      </c>
      <c r="AN24" s="8">
        <f t="shared" si="2"/>
        <v>130677857</v>
      </c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>
        <v>49951505</v>
      </c>
      <c r="AZ24" s="8"/>
      <c r="BA24" s="8"/>
      <c r="BB24" s="8"/>
      <c r="BC24" s="8">
        <f t="shared" si="3"/>
        <v>180629362</v>
      </c>
      <c r="BD24" s="4">
        <v>49951505</v>
      </c>
      <c r="BE24" s="4">
        <f t="shared" si="4"/>
        <v>130677857</v>
      </c>
      <c r="BF24" s="30">
        <f t="shared" si="5"/>
        <v>180629362</v>
      </c>
      <c r="BG24" s="18">
        <f t="shared" si="6"/>
        <v>0</v>
      </c>
      <c r="BH24" s="23"/>
      <c r="BI24" s="23"/>
      <c r="BJ24" s="23"/>
    </row>
    <row r="25" spans="1:66" ht="15" customHeight="1" x14ac:dyDescent="0.2">
      <c r="A25" s="1">
        <v>8909837011</v>
      </c>
      <c r="B25" s="1">
        <v>890983701</v>
      </c>
      <c r="C25" s="15">
        <v>212105021</v>
      </c>
      <c r="D25" s="16" t="s">
        <v>45</v>
      </c>
      <c r="E25" s="41" t="s">
        <v>1078</v>
      </c>
      <c r="F25" s="28"/>
      <c r="G25" s="2"/>
      <c r="H25" s="3"/>
      <c r="I25" s="2"/>
      <c r="J25" s="29"/>
      <c r="K25" s="3"/>
      <c r="L25" s="2"/>
      <c r="M25" s="8"/>
      <c r="N25" s="3"/>
      <c r="O25" s="2"/>
      <c r="P25" s="3"/>
      <c r="Q25" s="2"/>
      <c r="R25" s="3"/>
      <c r="S25" s="3"/>
      <c r="T25" s="2"/>
      <c r="U25" s="8">
        <f t="shared" si="0"/>
        <v>0</v>
      </c>
      <c r="V25" s="8"/>
      <c r="W25" s="8"/>
      <c r="X25" s="8"/>
      <c r="Y25" s="8"/>
      <c r="Z25" s="8"/>
      <c r="AA25" s="8"/>
      <c r="AB25" s="8"/>
      <c r="AC25" s="8">
        <f t="shared" si="1"/>
        <v>0</v>
      </c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>
        <f t="shared" si="2"/>
        <v>0</v>
      </c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>
        <v>24045055</v>
      </c>
      <c r="AZ25" s="8"/>
      <c r="BA25" s="8">
        <f>VLOOKUP(B25,[1]Hoja3!J$3:K$674,2,0)</f>
        <v>44934229</v>
      </c>
      <c r="BB25" s="8"/>
      <c r="BC25" s="8">
        <f t="shared" si="3"/>
        <v>68979284</v>
      </c>
      <c r="BD25" s="4">
        <v>24045055</v>
      </c>
      <c r="BE25" s="4">
        <f t="shared" si="4"/>
        <v>44934229</v>
      </c>
      <c r="BF25" s="30">
        <f t="shared" si="5"/>
        <v>68979284</v>
      </c>
      <c r="BG25" s="18">
        <f t="shared" si="6"/>
        <v>0</v>
      </c>
      <c r="BH25" s="23"/>
      <c r="BI25" s="23"/>
      <c r="BJ25" s="23"/>
    </row>
    <row r="26" spans="1:66" ht="15" customHeight="1" x14ac:dyDescent="0.2">
      <c r="A26" s="1">
        <v>8190032190</v>
      </c>
      <c r="B26" s="1">
        <v>819003219</v>
      </c>
      <c r="C26" s="15">
        <v>213047030</v>
      </c>
      <c r="D26" s="16" t="s">
        <v>640</v>
      </c>
      <c r="E26" s="41" t="s">
        <v>1660</v>
      </c>
      <c r="F26" s="28"/>
      <c r="G26" s="2"/>
      <c r="H26" s="3"/>
      <c r="I26" s="2"/>
      <c r="J26" s="29"/>
      <c r="K26" s="3"/>
      <c r="L26" s="2"/>
      <c r="M26" s="8"/>
      <c r="N26" s="3"/>
      <c r="O26" s="2"/>
      <c r="P26" s="3"/>
      <c r="Q26" s="2"/>
      <c r="R26" s="3"/>
      <c r="S26" s="3"/>
      <c r="T26" s="2"/>
      <c r="U26" s="8">
        <f t="shared" si="0"/>
        <v>0</v>
      </c>
      <c r="V26" s="8"/>
      <c r="W26" s="8"/>
      <c r="X26" s="8"/>
      <c r="Y26" s="8"/>
      <c r="Z26" s="8"/>
      <c r="AA26" s="8"/>
      <c r="AB26" s="8"/>
      <c r="AC26" s="8">
        <f t="shared" si="1"/>
        <v>0</v>
      </c>
      <c r="AD26" s="8"/>
      <c r="AE26" s="8"/>
      <c r="AF26" s="8"/>
      <c r="AG26" s="8"/>
      <c r="AH26" s="8"/>
      <c r="AI26" s="8"/>
      <c r="AJ26" s="8"/>
      <c r="AK26" s="8"/>
      <c r="AL26" s="8"/>
      <c r="AM26" s="8">
        <v>304771944</v>
      </c>
      <c r="AN26" s="8">
        <f t="shared" si="2"/>
        <v>304771944</v>
      </c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>
        <v>181171435</v>
      </c>
      <c r="AZ26" s="8"/>
      <c r="BA26" s="8"/>
      <c r="BB26" s="8">
        <f>VLOOKUP(B26,'[2]anuladas en mayo gratuidad}'!K$2:L$55,2,0)</f>
        <v>111754162</v>
      </c>
      <c r="BC26" s="8">
        <f t="shared" si="3"/>
        <v>374189217</v>
      </c>
      <c r="BD26" s="4">
        <v>181171435</v>
      </c>
      <c r="BE26" s="4">
        <f t="shared" si="4"/>
        <v>193017782</v>
      </c>
      <c r="BF26" s="30">
        <f t="shared" si="5"/>
        <v>374189217</v>
      </c>
      <c r="BG26" s="18">
        <f t="shared" si="6"/>
        <v>0</v>
      </c>
      <c r="BH26" s="23"/>
      <c r="BI26" s="23"/>
      <c r="BJ26" s="23"/>
    </row>
    <row r="27" spans="1:66" ht="15" customHeight="1" x14ac:dyDescent="0.2">
      <c r="A27" s="1">
        <v>8911800240</v>
      </c>
      <c r="B27" s="1">
        <v>891180024</v>
      </c>
      <c r="C27" s="15">
        <v>212041020</v>
      </c>
      <c r="D27" s="16" t="s">
        <v>596</v>
      </c>
      <c r="E27" s="41" t="s">
        <v>1618</v>
      </c>
      <c r="F27" s="28"/>
      <c r="G27" s="2"/>
      <c r="H27" s="3"/>
      <c r="I27" s="2"/>
      <c r="J27" s="29"/>
      <c r="K27" s="3"/>
      <c r="L27" s="2"/>
      <c r="M27" s="8"/>
      <c r="N27" s="3"/>
      <c r="O27" s="2"/>
      <c r="P27" s="3"/>
      <c r="Q27" s="2"/>
      <c r="R27" s="3"/>
      <c r="S27" s="3"/>
      <c r="T27" s="2"/>
      <c r="U27" s="8">
        <f t="shared" si="0"/>
        <v>0</v>
      </c>
      <c r="V27" s="8"/>
      <c r="W27" s="8"/>
      <c r="X27" s="8"/>
      <c r="Y27" s="8"/>
      <c r="Z27" s="8"/>
      <c r="AA27" s="8"/>
      <c r="AB27" s="8"/>
      <c r="AC27" s="8">
        <f t="shared" si="1"/>
        <v>0</v>
      </c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>
        <f t="shared" si="2"/>
        <v>0</v>
      </c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>
        <v>179882655</v>
      </c>
      <c r="AZ27" s="8"/>
      <c r="BA27" s="8">
        <f>VLOOKUP(B27,[1]Hoja3!J$3:K$674,2,0)</f>
        <v>379996287</v>
      </c>
      <c r="BB27" s="8"/>
      <c r="BC27" s="8">
        <f t="shared" si="3"/>
        <v>559878942</v>
      </c>
      <c r="BD27" s="4">
        <v>179882655</v>
      </c>
      <c r="BE27" s="4">
        <f t="shared" si="4"/>
        <v>379996287</v>
      </c>
      <c r="BF27" s="30">
        <f t="shared" si="5"/>
        <v>559878942</v>
      </c>
      <c r="BG27" s="18">
        <f t="shared" si="6"/>
        <v>0</v>
      </c>
      <c r="BH27" s="23"/>
      <c r="BI27" s="23"/>
      <c r="BJ27" s="23"/>
    </row>
    <row r="28" spans="1:66" ht="15" customHeight="1" x14ac:dyDescent="0.2">
      <c r="A28" s="1">
        <v>8915026648</v>
      </c>
      <c r="B28" s="1">
        <v>891502664</v>
      </c>
      <c r="C28" s="15">
        <v>212219022</v>
      </c>
      <c r="D28" s="16" t="s">
        <v>373</v>
      </c>
      <c r="E28" s="41" t="s">
        <v>1405</v>
      </c>
      <c r="F28" s="28"/>
      <c r="G28" s="2"/>
      <c r="H28" s="3"/>
      <c r="I28" s="2"/>
      <c r="J28" s="29"/>
      <c r="K28" s="3"/>
      <c r="L28" s="2"/>
      <c r="M28" s="8"/>
      <c r="N28" s="3"/>
      <c r="O28" s="2"/>
      <c r="P28" s="3"/>
      <c r="Q28" s="2"/>
      <c r="R28" s="3"/>
      <c r="S28" s="3"/>
      <c r="T28" s="2"/>
      <c r="U28" s="8">
        <f t="shared" si="0"/>
        <v>0</v>
      </c>
      <c r="V28" s="8"/>
      <c r="W28" s="8"/>
      <c r="X28" s="8"/>
      <c r="Y28" s="8"/>
      <c r="Z28" s="8"/>
      <c r="AA28" s="8"/>
      <c r="AB28" s="8"/>
      <c r="AC28" s="8">
        <f t="shared" si="1"/>
        <v>0</v>
      </c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>
        <f t="shared" si="2"/>
        <v>0</v>
      </c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>
        <v>171494880</v>
      </c>
      <c r="AZ28" s="8"/>
      <c r="BA28" s="8">
        <f>VLOOKUP(B28,[1]Hoja3!J$3:K$674,2,0)</f>
        <v>183830597</v>
      </c>
      <c r="BB28" s="8"/>
      <c r="BC28" s="8">
        <f t="shared" si="3"/>
        <v>355325477</v>
      </c>
      <c r="BD28" s="4">
        <v>171494880</v>
      </c>
      <c r="BE28" s="4">
        <f t="shared" si="4"/>
        <v>183830597</v>
      </c>
      <c r="BF28" s="30">
        <f t="shared" si="5"/>
        <v>355325477</v>
      </c>
      <c r="BG28" s="18">
        <f t="shared" si="6"/>
        <v>0</v>
      </c>
      <c r="BH28" s="23"/>
      <c r="BI28" s="23"/>
      <c r="BJ28" s="23"/>
    </row>
    <row r="29" spans="1:66" ht="15" customHeight="1" x14ac:dyDescent="0.2">
      <c r="A29" s="1">
        <v>8918012813</v>
      </c>
      <c r="B29" s="1">
        <v>891801281</v>
      </c>
      <c r="C29" s="15">
        <v>212215022</v>
      </c>
      <c r="D29" s="16" t="s">
        <v>218</v>
      </c>
      <c r="E29" s="41" t="s">
        <v>1253</v>
      </c>
      <c r="F29" s="28"/>
      <c r="G29" s="17"/>
      <c r="H29" s="3"/>
      <c r="I29" s="2"/>
      <c r="J29" s="29"/>
      <c r="K29" s="3"/>
      <c r="L29" s="17"/>
      <c r="M29" s="34"/>
      <c r="N29" s="3"/>
      <c r="O29" s="17"/>
      <c r="P29" s="3"/>
      <c r="Q29" s="2"/>
      <c r="R29" s="3"/>
      <c r="S29" s="3"/>
      <c r="T29" s="17"/>
      <c r="U29" s="8">
        <f t="shared" si="0"/>
        <v>0</v>
      </c>
      <c r="V29" s="8"/>
      <c r="W29" s="8"/>
      <c r="X29" s="8"/>
      <c r="Y29" s="8"/>
      <c r="Z29" s="8"/>
      <c r="AA29" s="8"/>
      <c r="AB29" s="8"/>
      <c r="AC29" s="8">
        <f t="shared" si="1"/>
        <v>0</v>
      </c>
      <c r="AD29" s="8"/>
      <c r="AE29" s="8"/>
      <c r="AF29" s="8"/>
      <c r="AG29" s="8"/>
      <c r="AH29" s="8"/>
      <c r="AI29" s="8"/>
      <c r="AJ29" s="8"/>
      <c r="AK29" s="8"/>
      <c r="AL29" s="8"/>
      <c r="AM29" s="8">
        <v>18969966</v>
      </c>
      <c r="AN29" s="8">
        <f t="shared" si="2"/>
        <v>18969966</v>
      </c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>
        <v>12183630</v>
      </c>
      <c r="AZ29" s="8"/>
      <c r="BA29" s="8"/>
      <c r="BB29" s="8"/>
      <c r="BC29" s="8">
        <f t="shared" si="3"/>
        <v>31153596</v>
      </c>
      <c r="BD29" s="4">
        <v>12183630</v>
      </c>
      <c r="BE29" s="4">
        <f t="shared" si="4"/>
        <v>18969966</v>
      </c>
      <c r="BF29" s="30">
        <f t="shared" si="5"/>
        <v>31153596</v>
      </c>
      <c r="BG29" s="18">
        <f t="shared" si="6"/>
        <v>0</v>
      </c>
      <c r="BH29" s="23"/>
      <c r="BI29" s="23"/>
      <c r="BJ29" s="14"/>
      <c r="BK29" s="14"/>
      <c r="BL29" s="14"/>
      <c r="BM29" s="14"/>
      <c r="BN29" s="14"/>
    </row>
    <row r="30" spans="1:66" ht="15" customHeight="1" x14ac:dyDescent="0.2">
      <c r="A30" s="1">
        <v>8907020177</v>
      </c>
      <c r="B30" s="1">
        <v>890702017</v>
      </c>
      <c r="C30" s="15">
        <v>212473024</v>
      </c>
      <c r="D30" s="16" t="s">
        <v>2204</v>
      </c>
      <c r="E30" s="41" t="s">
        <v>1929</v>
      </c>
      <c r="F30" s="28"/>
      <c r="G30" s="2"/>
      <c r="H30" s="3"/>
      <c r="I30" s="2"/>
      <c r="J30" s="29"/>
      <c r="K30" s="3"/>
      <c r="L30" s="2"/>
      <c r="M30" s="8"/>
      <c r="N30" s="3"/>
      <c r="O30" s="2"/>
      <c r="P30" s="3"/>
      <c r="Q30" s="2"/>
      <c r="R30" s="3"/>
      <c r="S30" s="3"/>
      <c r="T30" s="2"/>
      <c r="U30" s="8">
        <f t="shared" si="0"/>
        <v>0</v>
      </c>
      <c r="V30" s="8"/>
      <c r="W30" s="8"/>
      <c r="X30" s="8"/>
      <c r="Y30" s="8"/>
      <c r="Z30" s="8"/>
      <c r="AA30" s="8"/>
      <c r="AB30" s="8"/>
      <c r="AC30" s="8">
        <f t="shared" si="1"/>
        <v>0</v>
      </c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>
        <f t="shared" si="2"/>
        <v>0</v>
      </c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>
        <v>31865455</v>
      </c>
      <c r="AZ30" s="8"/>
      <c r="BA30" s="8">
        <f>VLOOKUP(B30,[1]Hoja3!J$3:K$674,2,0)</f>
        <v>73083783</v>
      </c>
      <c r="BB30" s="8"/>
      <c r="BC30" s="8">
        <f t="shared" si="3"/>
        <v>104949238</v>
      </c>
      <c r="BD30" s="4">
        <v>31865455</v>
      </c>
      <c r="BE30" s="4">
        <f t="shared" si="4"/>
        <v>73083783</v>
      </c>
      <c r="BF30" s="30">
        <f t="shared" si="5"/>
        <v>104949238</v>
      </c>
      <c r="BG30" s="18">
        <f t="shared" si="6"/>
        <v>0</v>
      </c>
      <c r="BH30" s="23"/>
      <c r="BI30" s="23"/>
      <c r="BJ30" s="23"/>
    </row>
    <row r="31" spans="1:66" ht="15" customHeight="1" x14ac:dyDescent="0.2">
      <c r="A31" s="1">
        <v>8911801184</v>
      </c>
      <c r="B31" s="1">
        <v>891180118</v>
      </c>
      <c r="C31" s="15">
        <v>212641026</v>
      </c>
      <c r="D31" s="16" t="s">
        <v>597</v>
      </c>
      <c r="E31" s="41" t="s">
        <v>2084</v>
      </c>
      <c r="F31" s="28"/>
      <c r="G31" s="2"/>
      <c r="H31" s="3"/>
      <c r="I31" s="2"/>
      <c r="J31" s="29"/>
      <c r="K31" s="3"/>
      <c r="L31" s="2"/>
      <c r="M31" s="8"/>
      <c r="N31" s="3"/>
      <c r="O31" s="2"/>
      <c r="P31" s="3"/>
      <c r="Q31" s="2"/>
      <c r="R31" s="3"/>
      <c r="S31" s="3"/>
      <c r="T31" s="2"/>
      <c r="U31" s="8">
        <f t="shared" si="0"/>
        <v>0</v>
      </c>
      <c r="V31" s="8"/>
      <c r="W31" s="8"/>
      <c r="X31" s="8"/>
      <c r="Y31" s="8"/>
      <c r="Z31" s="8"/>
      <c r="AA31" s="8"/>
      <c r="AB31" s="8"/>
      <c r="AC31" s="8">
        <f t="shared" si="1"/>
        <v>0</v>
      </c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>
        <f t="shared" si="2"/>
        <v>0</v>
      </c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>
        <f>VLOOKUP(B31,[1]Hoja3!J$3:K$674,2,0)</f>
        <v>52571091</v>
      </c>
      <c r="BB31" s="8"/>
      <c r="BC31" s="8">
        <f t="shared" si="3"/>
        <v>52571091</v>
      </c>
      <c r="BD31" s="4"/>
      <c r="BE31" s="4">
        <f t="shared" si="4"/>
        <v>52571091</v>
      </c>
      <c r="BF31" s="30">
        <f t="shared" si="5"/>
        <v>52571091</v>
      </c>
      <c r="BG31" s="18">
        <f t="shared" si="6"/>
        <v>0</v>
      </c>
      <c r="BH31" s="23"/>
      <c r="BI31" s="23"/>
      <c r="BJ31" s="23"/>
    </row>
    <row r="32" spans="1:66" ht="15" customHeight="1" x14ac:dyDescent="0.2">
      <c r="A32" s="1">
        <v>8916000624</v>
      </c>
      <c r="B32" s="1">
        <v>891600062</v>
      </c>
      <c r="C32" s="15">
        <v>212527025</v>
      </c>
      <c r="D32" s="16" t="s">
        <v>569</v>
      </c>
      <c r="E32" s="41" t="s">
        <v>1588</v>
      </c>
      <c r="F32" s="28"/>
      <c r="G32" s="2"/>
      <c r="H32" s="3"/>
      <c r="I32" s="2"/>
      <c r="J32" s="29"/>
      <c r="K32" s="3"/>
      <c r="L32" s="2"/>
      <c r="M32" s="8"/>
      <c r="N32" s="3"/>
      <c r="O32" s="2"/>
      <c r="P32" s="3"/>
      <c r="Q32" s="2"/>
      <c r="R32" s="3"/>
      <c r="S32" s="3"/>
      <c r="T32" s="2"/>
      <c r="U32" s="8">
        <f t="shared" si="0"/>
        <v>0</v>
      </c>
      <c r="V32" s="8"/>
      <c r="W32" s="8"/>
      <c r="X32" s="8"/>
      <c r="Y32" s="8"/>
      <c r="Z32" s="8"/>
      <c r="AA32" s="8"/>
      <c r="AB32" s="8"/>
      <c r="AC32" s="8">
        <f t="shared" si="1"/>
        <v>0</v>
      </c>
      <c r="AD32" s="8"/>
      <c r="AE32" s="8"/>
      <c r="AF32" s="8"/>
      <c r="AG32" s="8"/>
      <c r="AH32" s="8"/>
      <c r="AI32" s="8"/>
      <c r="AJ32" s="8"/>
      <c r="AK32" s="8"/>
      <c r="AL32" s="8"/>
      <c r="AM32" s="8">
        <v>140399501</v>
      </c>
      <c r="AN32" s="8">
        <f t="shared" si="2"/>
        <v>140399501</v>
      </c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>
        <v>450468775</v>
      </c>
      <c r="AZ32" s="8"/>
      <c r="BA32" s="8"/>
      <c r="BB32" s="8"/>
      <c r="BC32" s="8">
        <f t="shared" si="3"/>
        <v>590868276</v>
      </c>
      <c r="BD32" s="4">
        <v>450468775</v>
      </c>
      <c r="BE32" s="4">
        <f t="shared" si="4"/>
        <v>140399501</v>
      </c>
      <c r="BF32" s="30">
        <f t="shared" si="5"/>
        <v>590868276</v>
      </c>
      <c r="BG32" s="18">
        <f t="shared" si="6"/>
        <v>0</v>
      </c>
      <c r="BH32" s="23"/>
      <c r="BI32" s="23"/>
      <c r="BJ32" s="23"/>
    </row>
    <row r="33" spans="1:66" ht="15" customHeight="1" x14ac:dyDescent="0.2">
      <c r="A33" s="1">
        <v>8002548799</v>
      </c>
      <c r="B33" s="1">
        <v>800254879</v>
      </c>
      <c r="C33" s="15">
        <v>213013030</v>
      </c>
      <c r="D33" s="16" t="s">
        <v>182</v>
      </c>
      <c r="E33" s="41" t="s">
        <v>1211</v>
      </c>
      <c r="F33" s="28"/>
      <c r="G33" s="17"/>
      <c r="H33" s="3"/>
      <c r="I33" s="2"/>
      <c r="J33" s="29"/>
      <c r="K33" s="3"/>
      <c r="L33" s="17"/>
      <c r="M33" s="34"/>
      <c r="N33" s="3"/>
      <c r="O33" s="17"/>
      <c r="P33" s="3"/>
      <c r="Q33" s="2"/>
      <c r="R33" s="3"/>
      <c r="S33" s="3"/>
      <c r="T33" s="17"/>
      <c r="U33" s="8">
        <f t="shared" si="0"/>
        <v>0</v>
      </c>
      <c r="V33" s="8"/>
      <c r="W33" s="8"/>
      <c r="X33" s="8"/>
      <c r="Y33" s="8"/>
      <c r="Z33" s="8"/>
      <c r="AA33" s="8"/>
      <c r="AB33" s="8"/>
      <c r="AC33" s="8">
        <f t="shared" si="1"/>
        <v>0</v>
      </c>
      <c r="AD33" s="8"/>
      <c r="AE33" s="8"/>
      <c r="AF33" s="8"/>
      <c r="AG33" s="8"/>
      <c r="AH33" s="8"/>
      <c r="AI33" s="8"/>
      <c r="AJ33" s="8"/>
      <c r="AK33" s="8"/>
      <c r="AL33" s="8"/>
      <c r="AM33" s="8">
        <v>160720806</v>
      </c>
      <c r="AN33" s="8">
        <f t="shared" si="2"/>
        <v>160720806</v>
      </c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>
        <f t="shared" si="3"/>
        <v>160720806</v>
      </c>
      <c r="BD33" s="4"/>
      <c r="BE33" s="4">
        <f t="shared" si="4"/>
        <v>160720806</v>
      </c>
      <c r="BF33" s="30">
        <f t="shared" si="5"/>
        <v>160720806</v>
      </c>
      <c r="BG33" s="18">
        <f t="shared" si="6"/>
        <v>0</v>
      </c>
      <c r="BH33" s="23"/>
      <c r="BI33" s="23"/>
      <c r="BJ33" s="14"/>
      <c r="BK33" s="14"/>
      <c r="BL33" s="14"/>
      <c r="BM33" s="14"/>
      <c r="BN33" s="14"/>
    </row>
    <row r="34" spans="1:66" ht="15" customHeight="1" x14ac:dyDescent="0.2">
      <c r="A34" s="1">
        <v>8907009616</v>
      </c>
      <c r="B34" s="1">
        <v>890700961</v>
      </c>
      <c r="C34" s="15">
        <v>212673026</v>
      </c>
      <c r="D34" s="16" t="s">
        <v>2206</v>
      </c>
      <c r="E34" s="41" t="s">
        <v>1930</v>
      </c>
      <c r="F34" s="28"/>
      <c r="G34" s="2"/>
      <c r="H34" s="3"/>
      <c r="I34" s="2"/>
      <c r="J34" s="29"/>
      <c r="K34" s="3"/>
      <c r="L34" s="2"/>
      <c r="M34" s="8"/>
      <c r="N34" s="3"/>
      <c r="O34" s="2"/>
      <c r="P34" s="3"/>
      <c r="Q34" s="2"/>
      <c r="R34" s="3"/>
      <c r="S34" s="3"/>
      <c r="T34" s="2"/>
      <c r="U34" s="8">
        <f t="shared" si="0"/>
        <v>0</v>
      </c>
      <c r="V34" s="8"/>
      <c r="W34" s="8"/>
      <c r="X34" s="8"/>
      <c r="Y34" s="8"/>
      <c r="Z34" s="8"/>
      <c r="AA34" s="8"/>
      <c r="AB34" s="8"/>
      <c r="AC34" s="8">
        <f t="shared" si="1"/>
        <v>0</v>
      </c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>
        <f t="shared" si="2"/>
        <v>0</v>
      </c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>
        <v>59173945</v>
      </c>
      <c r="AZ34" s="8"/>
      <c r="BA34" s="8">
        <f>VLOOKUP(B34,[1]Hoja3!J$3:K$674,2,0)</f>
        <v>123740417</v>
      </c>
      <c r="BB34" s="8"/>
      <c r="BC34" s="8">
        <f t="shared" si="3"/>
        <v>182914362</v>
      </c>
      <c r="BD34" s="4">
        <v>59173945</v>
      </c>
      <c r="BE34" s="4">
        <f t="shared" si="4"/>
        <v>123740417</v>
      </c>
      <c r="BF34" s="30">
        <f t="shared" si="5"/>
        <v>182914362</v>
      </c>
      <c r="BG34" s="18">
        <f t="shared" si="6"/>
        <v>0</v>
      </c>
      <c r="BH34" s="23"/>
      <c r="BI34" s="23"/>
      <c r="BJ34" s="23"/>
    </row>
    <row r="35" spans="1:66" ht="15" customHeight="1" x14ac:dyDescent="0.2">
      <c r="A35" s="1">
        <v>8909817320</v>
      </c>
      <c r="B35" s="1">
        <v>890981732</v>
      </c>
      <c r="C35" s="15">
        <v>213005030</v>
      </c>
      <c r="D35" s="16" t="s">
        <v>46</v>
      </c>
      <c r="E35" s="41" t="s">
        <v>1079</v>
      </c>
      <c r="F35" s="28"/>
      <c r="G35" s="2"/>
      <c r="H35" s="3"/>
      <c r="I35" s="2"/>
      <c r="J35" s="29"/>
      <c r="K35" s="3"/>
      <c r="L35" s="2"/>
      <c r="M35" s="8"/>
      <c r="N35" s="3"/>
      <c r="O35" s="2"/>
      <c r="P35" s="3"/>
      <c r="Q35" s="2"/>
      <c r="R35" s="3"/>
      <c r="S35" s="3"/>
      <c r="T35" s="2"/>
      <c r="U35" s="8">
        <f t="shared" si="0"/>
        <v>0</v>
      </c>
      <c r="V35" s="8"/>
      <c r="W35" s="8"/>
      <c r="X35" s="8"/>
      <c r="Y35" s="8"/>
      <c r="Z35" s="8"/>
      <c r="AA35" s="8"/>
      <c r="AB35" s="8"/>
      <c r="AC35" s="8">
        <f t="shared" si="1"/>
        <v>0</v>
      </c>
      <c r="AD35" s="8"/>
      <c r="AE35" s="8"/>
      <c r="AF35" s="8"/>
      <c r="AG35" s="8"/>
      <c r="AH35" s="8"/>
      <c r="AI35" s="8"/>
      <c r="AJ35" s="8"/>
      <c r="AK35" s="8"/>
      <c r="AL35" s="8"/>
      <c r="AM35" s="8">
        <v>29248474</v>
      </c>
      <c r="AN35" s="8">
        <f t="shared" si="2"/>
        <v>29248474</v>
      </c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>
        <f>VLOOKUP(B35,[1]Hoja3!J$3:K$674,2,0)</f>
        <v>300867198</v>
      </c>
      <c r="BB35" s="8"/>
      <c r="BC35" s="8">
        <f t="shared" si="3"/>
        <v>330115672</v>
      </c>
      <c r="BD35" s="4"/>
      <c r="BE35" s="4">
        <f t="shared" si="4"/>
        <v>330115672</v>
      </c>
      <c r="BF35" s="30">
        <f t="shared" si="5"/>
        <v>330115672</v>
      </c>
      <c r="BG35" s="18">
        <f t="shared" si="6"/>
        <v>0</v>
      </c>
      <c r="BH35" s="23"/>
      <c r="BI35" s="23"/>
      <c r="BJ35" s="23"/>
    </row>
    <row r="36" spans="1:66" ht="15" customHeight="1" x14ac:dyDescent="0.2">
      <c r="A36" s="1">
        <v>8909815180</v>
      </c>
      <c r="B36" s="1">
        <v>890981518</v>
      </c>
      <c r="C36" s="15">
        <v>213105031</v>
      </c>
      <c r="D36" s="16" t="s">
        <v>47</v>
      </c>
      <c r="E36" s="41" t="s">
        <v>1080</v>
      </c>
      <c r="F36" s="28"/>
      <c r="G36" s="2"/>
      <c r="H36" s="3"/>
      <c r="I36" s="2"/>
      <c r="J36" s="29"/>
      <c r="K36" s="3"/>
      <c r="L36" s="2"/>
      <c r="M36" s="8"/>
      <c r="N36" s="3"/>
      <c r="O36" s="2"/>
      <c r="P36" s="3"/>
      <c r="Q36" s="2"/>
      <c r="R36" s="3"/>
      <c r="S36" s="3"/>
      <c r="T36" s="2"/>
      <c r="U36" s="8">
        <f t="shared" si="0"/>
        <v>0</v>
      </c>
      <c r="V36" s="8"/>
      <c r="W36" s="8"/>
      <c r="X36" s="8"/>
      <c r="Y36" s="8"/>
      <c r="Z36" s="8"/>
      <c r="AA36" s="8"/>
      <c r="AB36" s="8"/>
      <c r="AC36" s="8">
        <f t="shared" si="1"/>
        <v>0</v>
      </c>
      <c r="AD36" s="8"/>
      <c r="AE36" s="8"/>
      <c r="AF36" s="8"/>
      <c r="AG36" s="8"/>
      <c r="AH36" s="8"/>
      <c r="AI36" s="8"/>
      <c r="AJ36" s="8"/>
      <c r="AK36" s="8"/>
      <c r="AL36" s="8"/>
      <c r="AM36" s="8">
        <v>356580511</v>
      </c>
      <c r="AN36" s="8">
        <f t="shared" si="2"/>
        <v>356580511</v>
      </c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>
        <v>170819310</v>
      </c>
      <c r="AZ36" s="8"/>
      <c r="BA36" s="8"/>
      <c r="BB36" s="8"/>
      <c r="BC36" s="8">
        <f t="shared" si="3"/>
        <v>527399821</v>
      </c>
      <c r="BD36" s="4">
        <v>170819310</v>
      </c>
      <c r="BE36" s="4">
        <f t="shared" si="4"/>
        <v>356580511</v>
      </c>
      <c r="BF36" s="30">
        <f t="shared" si="5"/>
        <v>527399821</v>
      </c>
      <c r="BG36" s="18">
        <f t="shared" si="6"/>
        <v>0</v>
      </c>
      <c r="BH36" s="23"/>
      <c r="BI36" s="23"/>
      <c r="BJ36" s="23"/>
    </row>
    <row r="37" spans="1:66" ht="15" customHeight="1" x14ac:dyDescent="0.2">
      <c r="A37" s="1">
        <v>8001000484</v>
      </c>
      <c r="B37" s="1">
        <v>800100048</v>
      </c>
      <c r="C37" s="15">
        <v>213073030</v>
      </c>
      <c r="D37" s="16" t="s">
        <v>2207</v>
      </c>
      <c r="E37" s="41" t="s">
        <v>1931</v>
      </c>
      <c r="F37" s="28"/>
      <c r="G37" s="2"/>
      <c r="H37" s="3"/>
      <c r="I37" s="2"/>
      <c r="J37" s="29"/>
      <c r="K37" s="3"/>
      <c r="L37" s="2"/>
      <c r="M37" s="8"/>
      <c r="N37" s="3"/>
      <c r="O37" s="2"/>
      <c r="P37" s="3"/>
      <c r="Q37" s="2"/>
      <c r="R37" s="3"/>
      <c r="S37" s="3"/>
      <c r="T37" s="2"/>
      <c r="U37" s="8">
        <f t="shared" si="0"/>
        <v>0</v>
      </c>
      <c r="V37" s="8"/>
      <c r="W37" s="8"/>
      <c r="X37" s="8"/>
      <c r="Y37" s="8"/>
      <c r="Z37" s="8"/>
      <c r="AA37" s="8"/>
      <c r="AB37" s="8"/>
      <c r="AC37" s="8">
        <f t="shared" si="1"/>
        <v>0</v>
      </c>
      <c r="AD37" s="8"/>
      <c r="AE37" s="8"/>
      <c r="AF37" s="8"/>
      <c r="AG37" s="8"/>
      <c r="AH37" s="8"/>
      <c r="AI37" s="8"/>
      <c r="AJ37" s="8"/>
      <c r="AK37" s="8"/>
      <c r="AL37" s="8"/>
      <c r="AM37" s="8">
        <v>82716744</v>
      </c>
      <c r="AN37" s="8">
        <f t="shared" si="2"/>
        <v>82716744</v>
      </c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>
        <v>55835400</v>
      </c>
      <c r="AZ37" s="8"/>
      <c r="BA37" s="8"/>
      <c r="BB37" s="8"/>
      <c r="BC37" s="8">
        <f t="shared" si="3"/>
        <v>138552144</v>
      </c>
      <c r="BD37" s="4">
        <v>55835400</v>
      </c>
      <c r="BE37" s="4">
        <f t="shared" si="4"/>
        <v>82716744</v>
      </c>
      <c r="BF37" s="30">
        <f t="shared" si="5"/>
        <v>138552144</v>
      </c>
      <c r="BG37" s="18">
        <f t="shared" si="6"/>
        <v>0</v>
      </c>
      <c r="BH37" s="23"/>
      <c r="BI37" s="23"/>
      <c r="BJ37" s="23"/>
    </row>
    <row r="38" spans="1:66" ht="15" customHeight="1" x14ac:dyDescent="0.2">
      <c r="A38" s="1">
        <v>8906800971</v>
      </c>
      <c r="B38" s="1">
        <v>890680097</v>
      </c>
      <c r="C38" s="15">
        <v>213525035</v>
      </c>
      <c r="D38" s="16" t="s">
        <v>462</v>
      </c>
      <c r="E38" s="41" t="s">
        <v>1489</v>
      </c>
      <c r="F38" s="28"/>
      <c r="G38" s="2"/>
      <c r="H38" s="3"/>
      <c r="I38" s="2"/>
      <c r="J38" s="29"/>
      <c r="K38" s="3"/>
      <c r="L38" s="2"/>
      <c r="M38" s="8"/>
      <c r="N38" s="3"/>
      <c r="O38" s="2"/>
      <c r="P38" s="3"/>
      <c r="Q38" s="2"/>
      <c r="R38" s="3"/>
      <c r="S38" s="3"/>
      <c r="T38" s="2"/>
      <c r="U38" s="8">
        <f t="shared" si="0"/>
        <v>0</v>
      </c>
      <c r="V38" s="8"/>
      <c r="W38" s="8"/>
      <c r="X38" s="8"/>
      <c r="Y38" s="8"/>
      <c r="Z38" s="8"/>
      <c r="AA38" s="8"/>
      <c r="AB38" s="8"/>
      <c r="AC38" s="8">
        <f t="shared" si="1"/>
        <v>0</v>
      </c>
      <c r="AD38" s="8"/>
      <c r="AE38" s="8"/>
      <c r="AF38" s="8"/>
      <c r="AG38" s="8"/>
      <c r="AH38" s="8"/>
      <c r="AI38" s="8"/>
      <c r="AJ38" s="8"/>
      <c r="AK38" s="8"/>
      <c r="AL38" s="8"/>
      <c r="AM38" s="8">
        <v>178685183</v>
      </c>
      <c r="AN38" s="8">
        <f t="shared" si="2"/>
        <v>178685183</v>
      </c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>
        <v>63869830</v>
      </c>
      <c r="AZ38" s="8"/>
      <c r="BA38" s="8"/>
      <c r="BB38" s="8"/>
      <c r="BC38" s="8">
        <f t="shared" si="3"/>
        <v>242555013</v>
      </c>
      <c r="BD38" s="4">
        <v>63869830</v>
      </c>
      <c r="BE38" s="4">
        <f t="shared" si="4"/>
        <v>178685183</v>
      </c>
      <c r="BF38" s="30">
        <f t="shared" si="5"/>
        <v>242555013</v>
      </c>
      <c r="BG38" s="18">
        <f t="shared" si="6"/>
        <v>0</v>
      </c>
      <c r="BH38" s="23"/>
      <c r="BI38" s="23"/>
      <c r="BJ38" s="23"/>
    </row>
    <row r="39" spans="1:66" ht="15" customHeight="1" x14ac:dyDescent="0.2">
      <c r="A39" s="1">
        <v>8000990552</v>
      </c>
      <c r="B39" s="1">
        <v>800099055</v>
      </c>
      <c r="C39" s="15">
        <v>213652036</v>
      </c>
      <c r="D39" s="16" t="s">
        <v>694</v>
      </c>
      <c r="E39" s="41" t="s">
        <v>1717</v>
      </c>
      <c r="F39" s="28"/>
      <c r="G39" s="2"/>
      <c r="H39" s="3"/>
      <c r="I39" s="2"/>
      <c r="J39" s="29"/>
      <c r="K39" s="3"/>
      <c r="L39" s="2"/>
      <c r="M39" s="8"/>
      <c r="N39" s="3"/>
      <c r="O39" s="2"/>
      <c r="P39" s="3"/>
      <c r="Q39" s="2"/>
      <c r="R39" s="3"/>
      <c r="S39" s="3"/>
      <c r="T39" s="2"/>
      <c r="U39" s="8">
        <f t="shared" si="0"/>
        <v>0</v>
      </c>
      <c r="V39" s="8"/>
      <c r="W39" s="8"/>
      <c r="X39" s="8"/>
      <c r="Y39" s="8"/>
      <c r="Z39" s="8"/>
      <c r="AA39" s="8"/>
      <c r="AB39" s="8"/>
      <c r="AC39" s="8">
        <f t="shared" si="1"/>
        <v>0</v>
      </c>
      <c r="AD39" s="8"/>
      <c r="AE39" s="8"/>
      <c r="AF39" s="8"/>
      <c r="AG39" s="8"/>
      <c r="AH39" s="8"/>
      <c r="AI39" s="8"/>
      <c r="AJ39" s="8"/>
      <c r="AK39" s="8"/>
      <c r="AL39" s="8"/>
      <c r="AM39" s="8">
        <v>98947474</v>
      </c>
      <c r="AN39" s="8">
        <f t="shared" si="2"/>
        <v>98947474</v>
      </c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>
        <f t="shared" si="3"/>
        <v>98947474</v>
      </c>
      <c r="BD39" s="4"/>
      <c r="BE39" s="4">
        <f t="shared" si="4"/>
        <v>98947474</v>
      </c>
      <c r="BF39" s="30">
        <f t="shared" si="5"/>
        <v>98947474</v>
      </c>
      <c r="BG39" s="18">
        <f t="shared" si="6"/>
        <v>0</v>
      </c>
      <c r="BH39" s="23"/>
      <c r="BI39" s="23"/>
      <c r="BJ39" s="23"/>
    </row>
    <row r="40" spans="1:66" ht="15" customHeight="1" x14ac:dyDescent="0.2">
      <c r="A40" s="1">
        <v>8919004434</v>
      </c>
      <c r="B40" s="1">
        <v>891900443</v>
      </c>
      <c r="C40" s="15">
        <v>213676036</v>
      </c>
      <c r="D40" s="16" t="s">
        <v>913</v>
      </c>
      <c r="E40" s="41" t="s">
        <v>1975</v>
      </c>
      <c r="F40" s="28"/>
      <c r="G40" s="2"/>
      <c r="H40" s="3"/>
      <c r="I40" s="2"/>
      <c r="J40" s="29"/>
      <c r="K40" s="3"/>
      <c r="L40" s="2"/>
      <c r="M40" s="8"/>
      <c r="N40" s="3"/>
      <c r="O40" s="2"/>
      <c r="P40" s="3"/>
      <c r="Q40" s="2"/>
      <c r="R40" s="3"/>
      <c r="S40" s="3"/>
      <c r="T40" s="2"/>
      <c r="U40" s="8">
        <f t="shared" si="0"/>
        <v>0</v>
      </c>
      <c r="V40" s="8"/>
      <c r="W40" s="8"/>
      <c r="X40" s="8"/>
      <c r="Y40" s="8"/>
      <c r="Z40" s="8"/>
      <c r="AA40" s="8"/>
      <c r="AB40" s="8"/>
      <c r="AC40" s="8">
        <f t="shared" si="1"/>
        <v>0</v>
      </c>
      <c r="AD40" s="8"/>
      <c r="AE40" s="8"/>
      <c r="AF40" s="8"/>
      <c r="AG40" s="8"/>
      <c r="AH40" s="8"/>
      <c r="AI40" s="8"/>
      <c r="AJ40" s="8"/>
      <c r="AK40" s="8"/>
      <c r="AL40" s="8"/>
      <c r="AM40" s="8">
        <v>205337729</v>
      </c>
      <c r="AN40" s="8">
        <f t="shared" si="2"/>
        <v>205337729</v>
      </c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>
        <v>124455715</v>
      </c>
      <c r="AZ40" s="8"/>
      <c r="BA40" s="8"/>
      <c r="BB40" s="8"/>
      <c r="BC40" s="8">
        <f t="shared" si="3"/>
        <v>329793444</v>
      </c>
      <c r="BD40" s="4">
        <v>124455715</v>
      </c>
      <c r="BE40" s="4">
        <f t="shared" si="4"/>
        <v>205337729</v>
      </c>
      <c r="BF40" s="30">
        <f t="shared" si="5"/>
        <v>329793444</v>
      </c>
      <c r="BG40" s="18">
        <f t="shared" si="6"/>
        <v>0</v>
      </c>
      <c r="BH40" s="23"/>
      <c r="BI40" s="23"/>
      <c r="BJ40" s="23"/>
    </row>
    <row r="41" spans="1:66" ht="15" customHeight="1" x14ac:dyDescent="0.2">
      <c r="A41" s="1">
        <v>8909803427</v>
      </c>
      <c r="B41" s="1">
        <v>890980342</v>
      </c>
      <c r="C41" s="15">
        <v>213405034</v>
      </c>
      <c r="D41" s="16" t="s">
        <v>48</v>
      </c>
      <c r="E41" s="41" t="s">
        <v>1081</v>
      </c>
      <c r="F41" s="28"/>
      <c r="G41" s="2"/>
      <c r="H41" s="3"/>
      <c r="I41" s="2"/>
      <c r="J41" s="29"/>
      <c r="K41" s="3"/>
      <c r="L41" s="2"/>
      <c r="M41" s="8"/>
      <c r="N41" s="3"/>
      <c r="O41" s="2"/>
      <c r="P41" s="3"/>
      <c r="Q41" s="2"/>
      <c r="R41" s="3"/>
      <c r="S41" s="3"/>
      <c r="T41" s="2"/>
      <c r="U41" s="8">
        <f t="shared" si="0"/>
        <v>0</v>
      </c>
      <c r="V41" s="8"/>
      <c r="W41" s="8"/>
      <c r="X41" s="8"/>
      <c r="Y41" s="8"/>
      <c r="Z41" s="8"/>
      <c r="AA41" s="8"/>
      <c r="AB41" s="8"/>
      <c r="AC41" s="8">
        <f t="shared" si="1"/>
        <v>0</v>
      </c>
      <c r="AD41" s="8"/>
      <c r="AE41" s="8"/>
      <c r="AF41" s="8"/>
      <c r="AG41" s="8"/>
      <c r="AH41" s="8"/>
      <c r="AI41" s="8"/>
      <c r="AJ41" s="8"/>
      <c r="AK41" s="8"/>
      <c r="AL41" s="8"/>
      <c r="AM41" s="8">
        <v>602188530</v>
      </c>
      <c r="AN41" s="8">
        <f t="shared" si="2"/>
        <v>602188530</v>
      </c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>
        <v>242615820</v>
      </c>
      <c r="AZ41" s="8"/>
      <c r="BA41" s="8"/>
      <c r="BB41" s="8"/>
      <c r="BC41" s="8">
        <f t="shared" si="3"/>
        <v>844804350</v>
      </c>
      <c r="BD41" s="4">
        <v>242615820</v>
      </c>
      <c r="BE41" s="4">
        <f t="shared" si="4"/>
        <v>602188530</v>
      </c>
      <c r="BF41" s="30">
        <f t="shared" si="5"/>
        <v>844804350</v>
      </c>
      <c r="BG41" s="18">
        <f t="shared" si="6"/>
        <v>0</v>
      </c>
      <c r="BH41" s="23"/>
      <c r="BI41" s="23"/>
      <c r="BJ41" s="23"/>
    </row>
    <row r="42" spans="1:66" ht="15" customHeight="1" x14ac:dyDescent="0.2">
      <c r="A42" s="1">
        <v>8909814935</v>
      </c>
      <c r="B42" s="1">
        <v>890981493</v>
      </c>
      <c r="C42" s="15">
        <v>213605036</v>
      </c>
      <c r="D42" s="16" t="s">
        <v>49</v>
      </c>
      <c r="E42" s="41" t="s">
        <v>1082</v>
      </c>
      <c r="F42" s="28"/>
      <c r="G42" s="2"/>
      <c r="H42" s="3"/>
      <c r="I42" s="2"/>
      <c r="J42" s="29"/>
      <c r="K42" s="3"/>
      <c r="L42" s="2"/>
      <c r="M42" s="8"/>
      <c r="N42" s="3"/>
      <c r="O42" s="2"/>
      <c r="P42" s="3"/>
      <c r="Q42" s="2"/>
      <c r="R42" s="3"/>
      <c r="S42" s="3"/>
      <c r="T42" s="2"/>
      <c r="U42" s="8">
        <f t="shared" si="0"/>
        <v>0</v>
      </c>
      <c r="V42" s="8"/>
      <c r="W42" s="8"/>
      <c r="X42" s="8"/>
      <c r="Y42" s="8"/>
      <c r="Z42" s="8"/>
      <c r="AA42" s="8"/>
      <c r="AB42" s="8"/>
      <c r="AC42" s="8">
        <f t="shared" si="1"/>
        <v>0</v>
      </c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>
        <f t="shared" si="2"/>
        <v>0</v>
      </c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>
        <v>35087360</v>
      </c>
      <c r="AZ42" s="8"/>
      <c r="BA42" s="8">
        <f>VLOOKUP(B42,[1]Hoja3!J$3:K$674,2,0)</f>
        <v>79880628</v>
      </c>
      <c r="BB42" s="8"/>
      <c r="BC42" s="8">
        <f t="shared" si="3"/>
        <v>114967988</v>
      </c>
      <c r="BD42" s="4">
        <v>35087360</v>
      </c>
      <c r="BE42" s="4">
        <f t="shared" si="4"/>
        <v>79880628</v>
      </c>
      <c r="BF42" s="30">
        <f t="shared" si="5"/>
        <v>114967988</v>
      </c>
      <c r="BG42" s="18">
        <f t="shared" si="6"/>
        <v>0</v>
      </c>
      <c r="BH42" s="23"/>
      <c r="BI42" s="23"/>
      <c r="BJ42" s="23"/>
    </row>
    <row r="43" spans="1:66" ht="15" customHeight="1" x14ac:dyDescent="0.2">
      <c r="A43" s="1">
        <v>8909821412</v>
      </c>
      <c r="B43" s="1">
        <v>890982141</v>
      </c>
      <c r="C43" s="15">
        <v>213805038</v>
      </c>
      <c r="D43" s="16" t="s">
        <v>50</v>
      </c>
      <c r="E43" s="41" t="s">
        <v>1083</v>
      </c>
      <c r="F43" s="28"/>
      <c r="G43" s="2"/>
      <c r="H43" s="3"/>
      <c r="I43" s="2"/>
      <c r="J43" s="29"/>
      <c r="K43" s="3"/>
      <c r="L43" s="2"/>
      <c r="M43" s="8"/>
      <c r="N43" s="3"/>
      <c r="O43" s="2"/>
      <c r="P43" s="3"/>
      <c r="Q43" s="2"/>
      <c r="R43" s="3"/>
      <c r="S43" s="3"/>
      <c r="T43" s="2"/>
      <c r="U43" s="8">
        <f t="shared" si="0"/>
        <v>0</v>
      </c>
      <c r="V43" s="8"/>
      <c r="W43" s="8"/>
      <c r="X43" s="8"/>
      <c r="Y43" s="8"/>
      <c r="Z43" s="8"/>
      <c r="AA43" s="8"/>
      <c r="AB43" s="8"/>
      <c r="AC43" s="8">
        <f t="shared" si="1"/>
        <v>0</v>
      </c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>
        <f t="shared" si="2"/>
        <v>0</v>
      </c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>
        <v>109162925</v>
      </c>
      <c r="AZ43" s="8"/>
      <c r="BA43" s="8">
        <f>VLOOKUP(B43,[1]Hoja3!J$3:K$674,2,0)</f>
        <v>155025868</v>
      </c>
      <c r="BB43" s="8"/>
      <c r="BC43" s="8">
        <f t="shared" si="3"/>
        <v>264188793</v>
      </c>
      <c r="BD43" s="4">
        <v>109162925</v>
      </c>
      <c r="BE43" s="4">
        <f t="shared" si="4"/>
        <v>155025868</v>
      </c>
      <c r="BF43" s="30">
        <f t="shared" si="5"/>
        <v>264188793</v>
      </c>
      <c r="BG43" s="18">
        <f t="shared" si="6"/>
        <v>0</v>
      </c>
      <c r="BH43" s="23"/>
      <c r="BI43" s="23"/>
      <c r="BJ43" s="23"/>
    </row>
    <row r="44" spans="1:66" ht="15" customHeight="1" x14ac:dyDescent="0.2">
      <c r="A44" s="1">
        <v>8999994263</v>
      </c>
      <c r="B44" s="1">
        <v>899999426</v>
      </c>
      <c r="C44" s="15">
        <v>214025040</v>
      </c>
      <c r="D44" s="16" t="s">
        <v>463</v>
      </c>
      <c r="E44" s="41" t="s">
        <v>1490</v>
      </c>
      <c r="F44" s="28"/>
      <c r="G44" s="2"/>
      <c r="H44" s="3"/>
      <c r="I44" s="2"/>
      <c r="J44" s="29"/>
      <c r="K44" s="3"/>
      <c r="L44" s="2"/>
      <c r="M44" s="8"/>
      <c r="N44" s="3"/>
      <c r="O44" s="2"/>
      <c r="P44" s="3"/>
      <c r="Q44" s="2"/>
      <c r="R44" s="3"/>
      <c r="S44" s="3"/>
      <c r="T44" s="2"/>
      <c r="U44" s="8">
        <f t="shared" si="0"/>
        <v>0</v>
      </c>
      <c r="V44" s="8"/>
      <c r="W44" s="8"/>
      <c r="X44" s="8"/>
      <c r="Y44" s="8"/>
      <c r="Z44" s="8"/>
      <c r="AA44" s="8"/>
      <c r="AB44" s="8"/>
      <c r="AC44" s="8">
        <f t="shared" si="1"/>
        <v>0</v>
      </c>
      <c r="AD44" s="8"/>
      <c r="AE44" s="8"/>
      <c r="AF44" s="8"/>
      <c r="AG44" s="8"/>
      <c r="AH44" s="8"/>
      <c r="AI44" s="8"/>
      <c r="AJ44" s="8"/>
      <c r="AK44" s="8"/>
      <c r="AL44" s="8"/>
      <c r="AM44" s="8">
        <v>211696241</v>
      </c>
      <c r="AN44" s="8">
        <f t="shared" si="2"/>
        <v>211696241</v>
      </c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>
        <v>103888120</v>
      </c>
      <c r="AZ44" s="8"/>
      <c r="BA44" s="8"/>
      <c r="BB44" s="8"/>
      <c r="BC44" s="8">
        <f t="shared" si="3"/>
        <v>315584361</v>
      </c>
      <c r="BD44" s="4">
        <v>103888120</v>
      </c>
      <c r="BE44" s="4">
        <f t="shared" si="4"/>
        <v>211696241</v>
      </c>
      <c r="BF44" s="30">
        <f t="shared" si="5"/>
        <v>315584361</v>
      </c>
      <c r="BG44" s="18">
        <f t="shared" si="6"/>
        <v>0</v>
      </c>
      <c r="BH44" s="23"/>
      <c r="BI44" s="23"/>
      <c r="BJ44" s="23"/>
    </row>
    <row r="45" spans="1:66" ht="15" customHeight="1" x14ac:dyDescent="0.2">
      <c r="A45" s="1">
        <v>8909824891</v>
      </c>
      <c r="B45" s="1">
        <v>890982489</v>
      </c>
      <c r="C45" s="15">
        <v>214005040</v>
      </c>
      <c r="D45" s="16" t="s">
        <v>51</v>
      </c>
      <c r="E45" s="41" t="s">
        <v>1084</v>
      </c>
      <c r="F45" s="28"/>
      <c r="G45" s="2"/>
      <c r="H45" s="3"/>
      <c r="I45" s="2"/>
      <c r="J45" s="29"/>
      <c r="K45" s="3"/>
      <c r="L45" s="2"/>
      <c r="M45" s="8"/>
      <c r="N45" s="3"/>
      <c r="O45" s="2"/>
      <c r="P45" s="3"/>
      <c r="Q45" s="2"/>
      <c r="R45" s="3"/>
      <c r="S45" s="3"/>
      <c r="T45" s="2"/>
      <c r="U45" s="8">
        <f t="shared" si="0"/>
        <v>0</v>
      </c>
      <c r="V45" s="8"/>
      <c r="W45" s="8"/>
      <c r="X45" s="8"/>
      <c r="Y45" s="8"/>
      <c r="Z45" s="8"/>
      <c r="AA45" s="8"/>
      <c r="AB45" s="8"/>
      <c r="AC45" s="8">
        <f t="shared" si="1"/>
        <v>0</v>
      </c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>
        <f t="shared" si="2"/>
        <v>0</v>
      </c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>
        <v>135444400</v>
      </c>
      <c r="AZ45" s="8"/>
      <c r="BA45" s="8">
        <f>VLOOKUP(B45,[1]Hoja3!J$3:K$674,2,0)</f>
        <v>238370014</v>
      </c>
      <c r="BB45" s="8"/>
      <c r="BC45" s="8">
        <f t="shared" si="3"/>
        <v>373814414</v>
      </c>
      <c r="BD45" s="4">
        <v>135444400</v>
      </c>
      <c r="BE45" s="4">
        <f t="shared" si="4"/>
        <v>238370014</v>
      </c>
      <c r="BF45" s="30">
        <f t="shared" si="5"/>
        <v>373814414</v>
      </c>
      <c r="BG45" s="18">
        <f t="shared" si="6"/>
        <v>0</v>
      </c>
      <c r="BH45" s="23"/>
      <c r="BI45" s="23"/>
      <c r="BJ45" s="23"/>
    </row>
    <row r="46" spans="1:66" ht="15" customHeight="1" x14ac:dyDescent="0.2">
      <c r="A46" s="1">
        <v>8908011391</v>
      </c>
      <c r="B46" s="1">
        <v>890801139</v>
      </c>
      <c r="C46" s="15">
        <v>214217042</v>
      </c>
      <c r="D46" s="16" t="s">
        <v>337</v>
      </c>
      <c r="E46" s="41" t="s">
        <v>1368</v>
      </c>
      <c r="F46" s="28"/>
      <c r="G46" s="2"/>
      <c r="H46" s="3"/>
      <c r="I46" s="2"/>
      <c r="J46" s="29"/>
      <c r="K46" s="3"/>
      <c r="L46" s="2"/>
      <c r="M46" s="8"/>
      <c r="N46" s="3"/>
      <c r="O46" s="2"/>
      <c r="P46" s="3"/>
      <c r="Q46" s="2"/>
      <c r="R46" s="3"/>
      <c r="S46" s="3"/>
      <c r="T46" s="2"/>
      <c r="U46" s="8">
        <f t="shared" si="0"/>
        <v>0</v>
      </c>
      <c r="V46" s="8"/>
      <c r="W46" s="8"/>
      <c r="X46" s="8"/>
      <c r="Y46" s="8"/>
      <c r="Z46" s="8"/>
      <c r="AA46" s="8"/>
      <c r="AB46" s="8"/>
      <c r="AC46" s="8">
        <f t="shared" si="1"/>
        <v>0</v>
      </c>
      <c r="AD46" s="8"/>
      <c r="AE46" s="8"/>
      <c r="AF46" s="8"/>
      <c r="AG46" s="8"/>
      <c r="AH46" s="8"/>
      <c r="AI46" s="8"/>
      <c r="AJ46" s="8"/>
      <c r="AK46" s="8"/>
      <c r="AL46" s="8"/>
      <c r="AM46" s="8">
        <v>415879555</v>
      </c>
      <c r="AN46" s="8">
        <f t="shared" si="2"/>
        <v>415879555</v>
      </c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>
        <v>234171635</v>
      </c>
      <c r="AZ46" s="8"/>
      <c r="BA46" s="8"/>
      <c r="BB46" s="8"/>
      <c r="BC46" s="8">
        <f t="shared" si="3"/>
        <v>650051190</v>
      </c>
      <c r="BD46" s="4">
        <v>234171635</v>
      </c>
      <c r="BE46" s="4">
        <f t="shared" si="4"/>
        <v>415879555</v>
      </c>
      <c r="BF46" s="30">
        <f t="shared" si="5"/>
        <v>650051190</v>
      </c>
      <c r="BG46" s="18">
        <f t="shared" si="6"/>
        <v>0</v>
      </c>
      <c r="BH46" s="23"/>
      <c r="BI46" s="23"/>
      <c r="BJ46" s="23"/>
    </row>
    <row r="47" spans="1:66" ht="15" customHeight="1" x14ac:dyDescent="0.2">
      <c r="A47" s="1">
        <v>8001005328</v>
      </c>
      <c r="B47" s="1">
        <v>800100532</v>
      </c>
      <c r="C47" s="15">
        <v>214176041</v>
      </c>
      <c r="D47" s="16" t="s">
        <v>914</v>
      </c>
      <c r="E47" s="41" t="s">
        <v>1976</v>
      </c>
      <c r="F47" s="28"/>
      <c r="G47" s="2"/>
      <c r="H47" s="3"/>
      <c r="I47" s="2"/>
      <c r="J47" s="29"/>
      <c r="K47" s="3"/>
      <c r="L47" s="2"/>
      <c r="M47" s="8"/>
      <c r="N47" s="3"/>
      <c r="O47" s="2"/>
      <c r="P47" s="3"/>
      <c r="Q47" s="2"/>
      <c r="R47" s="3"/>
      <c r="S47" s="3"/>
      <c r="T47" s="2"/>
      <c r="U47" s="8">
        <f t="shared" si="0"/>
        <v>0</v>
      </c>
      <c r="V47" s="8"/>
      <c r="W47" s="8"/>
      <c r="X47" s="8"/>
      <c r="Y47" s="8"/>
      <c r="Z47" s="8"/>
      <c r="AA47" s="8"/>
      <c r="AB47" s="8"/>
      <c r="AC47" s="8">
        <f t="shared" si="1"/>
        <v>0</v>
      </c>
      <c r="AD47" s="8"/>
      <c r="AE47" s="8"/>
      <c r="AF47" s="8"/>
      <c r="AG47" s="8"/>
      <c r="AH47" s="8"/>
      <c r="AI47" s="8"/>
      <c r="AJ47" s="8"/>
      <c r="AK47" s="8"/>
      <c r="AL47" s="8"/>
      <c r="AM47" s="8">
        <v>159015700</v>
      </c>
      <c r="AN47" s="8">
        <f t="shared" si="2"/>
        <v>159015700</v>
      </c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>
        <v>114597565</v>
      </c>
      <c r="AZ47" s="8"/>
      <c r="BA47" s="8">
        <f>VLOOKUP(B47,[1]Hoja3!J$3:K$674,2,0)</f>
        <v>41595426</v>
      </c>
      <c r="BB47" s="8"/>
      <c r="BC47" s="8">
        <f t="shared" si="3"/>
        <v>315208691</v>
      </c>
      <c r="BD47" s="4">
        <v>114597565</v>
      </c>
      <c r="BE47" s="4">
        <f t="shared" si="4"/>
        <v>200611126</v>
      </c>
      <c r="BF47" s="30">
        <f t="shared" si="5"/>
        <v>315208691</v>
      </c>
      <c r="BG47" s="18">
        <f t="shared" si="6"/>
        <v>0</v>
      </c>
      <c r="BH47" s="23"/>
      <c r="BI47" s="23"/>
      <c r="BJ47" s="23"/>
    </row>
    <row r="48" spans="1:66" ht="15" customHeight="1" x14ac:dyDescent="0.2">
      <c r="A48" s="1">
        <v>8909075691</v>
      </c>
      <c r="B48" s="1">
        <v>890907569</v>
      </c>
      <c r="C48" s="15">
        <v>214205042</v>
      </c>
      <c r="D48" s="16" t="s">
        <v>52</v>
      </c>
      <c r="E48" s="41" t="s">
        <v>2085</v>
      </c>
      <c r="F48" s="28"/>
      <c r="G48" s="2"/>
      <c r="H48" s="3"/>
      <c r="I48" s="2"/>
      <c r="J48" s="29"/>
      <c r="K48" s="3"/>
      <c r="L48" s="2"/>
      <c r="M48" s="8"/>
      <c r="N48" s="3"/>
      <c r="O48" s="2"/>
      <c r="P48" s="3"/>
      <c r="Q48" s="2"/>
      <c r="R48" s="3"/>
      <c r="S48" s="3"/>
      <c r="T48" s="2"/>
      <c r="U48" s="8">
        <f t="shared" si="0"/>
        <v>0</v>
      </c>
      <c r="V48" s="8"/>
      <c r="W48" s="8"/>
      <c r="X48" s="8"/>
      <c r="Y48" s="8"/>
      <c r="Z48" s="8"/>
      <c r="AA48" s="8"/>
      <c r="AB48" s="8"/>
      <c r="AC48" s="8">
        <f t="shared" si="1"/>
        <v>0</v>
      </c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>
        <f t="shared" si="2"/>
        <v>0</v>
      </c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>
        <v>214530950</v>
      </c>
      <c r="AZ48" s="8"/>
      <c r="BA48" s="8">
        <f>VLOOKUP(B48,[1]Hoja3!J$3:K$674,2,0)</f>
        <v>352296021</v>
      </c>
      <c r="BB48" s="8"/>
      <c r="BC48" s="8">
        <f t="shared" si="3"/>
        <v>566826971</v>
      </c>
      <c r="BD48" s="4">
        <v>214530950</v>
      </c>
      <c r="BE48" s="4">
        <f t="shared" si="4"/>
        <v>352296021</v>
      </c>
      <c r="BF48" s="30">
        <f t="shared" si="5"/>
        <v>566826971</v>
      </c>
      <c r="BG48" s="18">
        <f t="shared" si="6"/>
        <v>0</v>
      </c>
      <c r="BH48" s="23"/>
      <c r="BI48" s="23"/>
      <c r="BJ48" s="23"/>
    </row>
    <row r="49" spans="1:66" ht="15" customHeight="1" x14ac:dyDescent="0.2">
      <c r="A49" s="1">
        <v>8909838249</v>
      </c>
      <c r="B49" s="1">
        <v>890983824</v>
      </c>
      <c r="C49" s="15">
        <v>214405044</v>
      </c>
      <c r="D49" s="16" t="s">
        <v>53</v>
      </c>
      <c r="E49" s="41" t="s">
        <v>1085</v>
      </c>
      <c r="F49" s="28"/>
      <c r="G49" s="2"/>
      <c r="H49" s="3"/>
      <c r="I49" s="2"/>
      <c r="J49" s="29"/>
      <c r="K49" s="3"/>
      <c r="L49" s="2"/>
      <c r="M49" s="8"/>
      <c r="N49" s="3"/>
      <c r="O49" s="2"/>
      <c r="P49" s="3"/>
      <c r="Q49" s="2"/>
      <c r="R49" s="3"/>
      <c r="S49" s="3"/>
      <c r="T49" s="2"/>
      <c r="U49" s="8">
        <f t="shared" si="0"/>
        <v>0</v>
      </c>
      <c r="V49" s="8"/>
      <c r="W49" s="8"/>
      <c r="X49" s="8"/>
      <c r="Y49" s="8"/>
      <c r="Z49" s="8"/>
      <c r="AA49" s="8"/>
      <c r="AB49" s="8"/>
      <c r="AC49" s="8">
        <f t="shared" si="1"/>
        <v>0</v>
      </c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>
        <f t="shared" si="2"/>
        <v>0</v>
      </c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>
        <v>46261170</v>
      </c>
      <c r="AZ49" s="8"/>
      <c r="BA49" s="8">
        <f>VLOOKUP(B49,[1]Hoja3!J$3:K$674,2,0)</f>
        <v>97874861</v>
      </c>
      <c r="BB49" s="8"/>
      <c r="BC49" s="8">
        <f t="shared" si="3"/>
        <v>144136031</v>
      </c>
      <c r="BD49" s="4">
        <v>46261170</v>
      </c>
      <c r="BE49" s="4">
        <f t="shared" si="4"/>
        <v>97874861</v>
      </c>
      <c r="BF49" s="30">
        <f t="shared" si="5"/>
        <v>144136031</v>
      </c>
      <c r="BG49" s="18">
        <f t="shared" si="6"/>
        <v>0</v>
      </c>
      <c r="BH49" s="23"/>
      <c r="BI49" s="23"/>
      <c r="BJ49" s="23"/>
    </row>
    <row r="50" spans="1:66" ht="15" customHeight="1" x14ac:dyDescent="0.2">
      <c r="A50" s="1">
        <v>8907020184</v>
      </c>
      <c r="B50" s="1">
        <v>890702018</v>
      </c>
      <c r="C50" s="15">
        <v>214373043</v>
      </c>
      <c r="D50" s="16" t="s">
        <v>2208</v>
      </c>
      <c r="E50" s="41" t="s">
        <v>1932</v>
      </c>
      <c r="F50" s="28"/>
      <c r="G50" s="2"/>
      <c r="H50" s="3"/>
      <c r="I50" s="2"/>
      <c r="J50" s="29"/>
      <c r="K50" s="3"/>
      <c r="L50" s="2"/>
      <c r="M50" s="8"/>
      <c r="N50" s="3"/>
      <c r="O50" s="2"/>
      <c r="P50" s="3"/>
      <c r="Q50" s="2"/>
      <c r="R50" s="3"/>
      <c r="S50" s="3"/>
      <c r="T50" s="2"/>
      <c r="U50" s="8">
        <f t="shared" si="0"/>
        <v>0</v>
      </c>
      <c r="V50" s="8"/>
      <c r="W50" s="8"/>
      <c r="X50" s="8"/>
      <c r="Y50" s="8"/>
      <c r="Z50" s="8"/>
      <c r="AA50" s="8"/>
      <c r="AB50" s="8"/>
      <c r="AC50" s="8">
        <f t="shared" si="1"/>
        <v>0</v>
      </c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>
        <f t="shared" si="2"/>
        <v>0</v>
      </c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>
        <v>134969305</v>
      </c>
      <c r="AZ50" s="8"/>
      <c r="BA50" s="8">
        <f>VLOOKUP(B50,[1]Hoja3!J$3:K$674,2,0)</f>
        <v>171448041</v>
      </c>
      <c r="BB50" s="8"/>
      <c r="BC50" s="8">
        <f t="shared" si="3"/>
        <v>306417346</v>
      </c>
      <c r="BD50" s="4">
        <v>134969305</v>
      </c>
      <c r="BE50" s="4">
        <f t="shared" si="4"/>
        <v>171448041</v>
      </c>
      <c r="BF50" s="30">
        <f t="shared" si="5"/>
        <v>306417346</v>
      </c>
      <c r="BG50" s="18">
        <f t="shared" si="6"/>
        <v>0</v>
      </c>
      <c r="BH50" s="23"/>
      <c r="BI50" s="23"/>
      <c r="BJ50" s="23"/>
    </row>
    <row r="51" spans="1:66" ht="15" customHeight="1" x14ac:dyDescent="0.2">
      <c r="A51" s="1">
        <v>8909800952</v>
      </c>
      <c r="B51" s="1">
        <v>890980095</v>
      </c>
      <c r="C51" s="15">
        <v>214505045</v>
      </c>
      <c r="D51" s="16" t="s">
        <v>54</v>
      </c>
      <c r="E51" s="52" t="s">
        <v>2110</v>
      </c>
      <c r="F51" s="28"/>
      <c r="G51" s="2"/>
      <c r="H51" s="3"/>
      <c r="I51" s="2">
        <v>2878738504</v>
      </c>
      <c r="J51" s="29">
        <v>213803383</v>
      </c>
      <c r="K51" s="3">
        <v>425368073</v>
      </c>
      <c r="L51" s="2"/>
      <c r="M51" s="37">
        <f>SUM(F51:L51)</f>
        <v>3517909960</v>
      </c>
      <c r="N51" s="3"/>
      <c r="O51" s="2"/>
      <c r="P51" s="3"/>
      <c r="Q51" s="2">
        <f>2684827991+46599699</f>
        <v>2731427690</v>
      </c>
      <c r="R51" s="3">
        <v>213803383</v>
      </c>
      <c r="S51" s="3">
        <f>211564690+213803383</f>
        <v>425368073</v>
      </c>
      <c r="T51" s="2"/>
      <c r="U51" s="8">
        <f t="shared" si="0"/>
        <v>6888509106</v>
      </c>
      <c r="V51" s="8"/>
      <c r="W51" s="8"/>
      <c r="X51" s="8"/>
      <c r="Y51" s="8">
        <v>4538941420</v>
      </c>
      <c r="Z51" s="8">
        <v>208292356</v>
      </c>
      <c r="AA51" s="8">
        <v>482592112</v>
      </c>
      <c r="AB51" s="8"/>
      <c r="AC51" s="8">
        <f t="shared" si="1"/>
        <v>12118334994</v>
      </c>
      <c r="AD51" s="8"/>
      <c r="AE51" s="8"/>
      <c r="AF51" s="8"/>
      <c r="AG51" s="8"/>
      <c r="AH51" s="8">
        <v>3161180008</v>
      </c>
      <c r="AI51" s="8">
        <v>2759301451</v>
      </c>
      <c r="AJ51" s="8">
        <v>216710035</v>
      </c>
      <c r="AK51" s="8">
        <v>547436727</v>
      </c>
      <c r="AL51" s="8"/>
      <c r="AM51" s="8">
        <v>1962648182</v>
      </c>
      <c r="AN51" s="8">
        <f t="shared" si="2"/>
        <v>20765611397</v>
      </c>
      <c r="AO51" s="8"/>
      <c r="AP51" s="8"/>
      <c r="AQ51" s="8">
        <v>715098920</v>
      </c>
      <c r="AR51" s="8"/>
      <c r="AS51" s="8"/>
      <c r="AT51" s="8">
        <v>3161180008</v>
      </c>
      <c r="AU51" s="8"/>
      <c r="AV51" s="8">
        <v>216710035</v>
      </c>
      <c r="AW51" s="8">
        <v>371060499</v>
      </c>
      <c r="AX51" s="8"/>
      <c r="AY51" s="8"/>
      <c r="AZ51" s="8">
        <v>126131774</v>
      </c>
      <c r="BA51" s="8"/>
      <c r="BB51" s="8"/>
      <c r="BC51" s="8">
        <f t="shared" si="3"/>
        <v>25355792633</v>
      </c>
      <c r="BD51" s="4">
        <v>23393144451</v>
      </c>
      <c r="BE51" s="4">
        <f t="shared" si="4"/>
        <v>1962648182</v>
      </c>
      <c r="BF51" s="30">
        <f t="shared" si="5"/>
        <v>25355792633</v>
      </c>
      <c r="BG51" s="18">
        <f t="shared" si="6"/>
        <v>0</v>
      </c>
      <c r="BH51" s="23"/>
      <c r="BI51" s="23"/>
      <c r="BJ51" s="23"/>
    </row>
    <row r="52" spans="1:66" ht="15" customHeight="1" x14ac:dyDescent="0.2">
      <c r="A52" s="1">
        <v>8914800223</v>
      </c>
      <c r="B52" s="1">
        <v>891480022</v>
      </c>
      <c r="C52" s="15">
        <v>214566045</v>
      </c>
      <c r="D52" s="16" t="s">
        <v>800</v>
      </c>
      <c r="E52" s="41" t="s">
        <v>1818</v>
      </c>
      <c r="F52" s="28"/>
      <c r="G52" s="2"/>
      <c r="H52" s="3"/>
      <c r="I52" s="2"/>
      <c r="J52" s="29"/>
      <c r="K52" s="3"/>
      <c r="L52" s="2"/>
      <c r="M52" s="8"/>
      <c r="N52" s="3"/>
      <c r="O52" s="2"/>
      <c r="P52" s="3"/>
      <c r="Q52" s="2"/>
      <c r="R52" s="3"/>
      <c r="S52" s="3"/>
      <c r="T52" s="2"/>
      <c r="U52" s="8">
        <f t="shared" si="0"/>
        <v>0</v>
      </c>
      <c r="V52" s="8"/>
      <c r="W52" s="8"/>
      <c r="X52" s="8"/>
      <c r="Y52" s="8"/>
      <c r="Z52" s="8"/>
      <c r="AA52" s="8"/>
      <c r="AB52" s="8"/>
      <c r="AC52" s="8">
        <f t="shared" si="1"/>
        <v>0</v>
      </c>
      <c r="AD52" s="8"/>
      <c r="AE52" s="8"/>
      <c r="AF52" s="8"/>
      <c r="AG52" s="8"/>
      <c r="AH52" s="8"/>
      <c r="AI52" s="8"/>
      <c r="AJ52" s="8"/>
      <c r="AK52" s="8"/>
      <c r="AL52" s="8"/>
      <c r="AM52" s="8">
        <v>152426352</v>
      </c>
      <c r="AN52" s="8">
        <f t="shared" si="2"/>
        <v>152426352</v>
      </c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>
        <v>77708230</v>
      </c>
      <c r="AZ52" s="8"/>
      <c r="BA52" s="8">
        <f>VLOOKUP(B52,[1]Hoja3!J$3:K$674,2,0)</f>
        <v>195347256</v>
      </c>
      <c r="BB52" s="8"/>
      <c r="BC52" s="8">
        <f t="shared" si="3"/>
        <v>425481838</v>
      </c>
      <c r="BD52" s="4">
        <v>77708230</v>
      </c>
      <c r="BE52" s="4">
        <f t="shared" si="4"/>
        <v>347773608</v>
      </c>
      <c r="BF52" s="30">
        <f t="shared" si="5"/>
        <v>425481838</v>
      </c>
      <c r="BG52" s="18">
        <f t="shared" si="6"/>
        <v>0</v>
      </c>
      <c r="BH52" s="23"/>
      <c r="BI52" s="23"/>
      <c r="BJ52" s="23"/>
    </row>
    <row r="53" spans="1:66" ht="15" hidden="1" customHeight="1" x14ac:dyDescent="0.2">
      <c r="A53" s="1">
        <v>8906802367</v>
      </c>
      <c r="B53" s="1">
        <v>890680236</v>
      </c>
      <c r="C53" s="15">
        <v>219925599</v>
      </c>
      <c r="D53" s="16" t="s">
        <v>529</v>
      </c>
      <c r="E53" s="41" t="s">
        <v>1554</v>
      </c>
      <c r="F53" s="28"/>
      <c r="G53" s="2"/>
      <c r="H53" s="3"/>
      <c r="I53" s="2"/>
      <c r="J53" s="29"/>
      <c r="K53" s="3"/>
      <c r="L53" s="2"/>
      <c r="M53" s="8"/>
      <c r="N53" s="3"/>
      <c r="O53" s="2"/>
      <c r="P53" s="3"/>
      <c r="Q53" s="2"/>
      <c r="R53" s="3"/>
      <c r="S53" s="3"/>
      <c r="T53" s="2"/>
      <c r="U53" s="8">
        <f t="shared" si="0"/>
        <v>0</v>
      </c>
      <c r="V53" s="8"/>
      <c r="W53" s="8"/>
      <c r="X53" s="8"/>
      <c r="Y53" s="8"/>
      <c r="Z53" s="8"/>
      <c r="AA53" s="8"/>
      <c r="AB53" s="8"/>
      <c r="AC53" s="8">
        <f t="shared" si="1"/>
        <v>0</v>
      </c>
      <c r="AD53" s="8"/>
      <c r="AE53" s="8"/>
      <c r="AF53" s="8"/>
      <c r="AG53" s="8"/>
      <c r="AH53" s="8"/>
      <c r="AI53" s="8"/>
      <c r="AJ53" s="8"/>
      <c r="AK53" s="8"/>
      <c r="AL53" s="8"/>
      <c r="AM53" s="8">
        <v>85049187</v>
      </c>
      <c r="AN53" s="8">
        <f t="shared" si="2"/>
        <v>85049187</v>
      </c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>
        <f>VLOOKUP(B53,'[2]anuladas en mayo gratuidad}'!K$2:L$55,2,0)</f>
        <v>85049187</v>
      </c>
      <c r="BC53" s="8">
        <f t="shared" si="3"/>
        <v>0</v>
      </c>
      <c r="BD53" s="4"/>
      <c r="BE53" s="4">
        <f t="shared" si="4"/>
        <v>0</v>
      </c>
      <c r="BF53" s="30">
        <f t="shared" si="5"/>
        <v>0</v>
      </c>
      <c r="BG53" s="18">
        <f t="shared" si="6"/>
        <v>0</v>
      </c>
      <c r="BH53" s="23"/>
      <c r="BI53" s="23"/>
      <c r="BJ53" s="23"/>
    </row>
    <row r="54" spans="1:66" ht="15" customHeight="1" x14ac:dyDescent="0.2">
      <c r="A54" s="1">
        <v>8000775455</v>
      </c>
      <c r="B54" s="1">
        <v>800077545</v>
      </c>
      <c r="C54" s="15">
        <v>214715047</v>
      </c>
      <c r="D54" s="16" t="s">
        <v>219</v>
      </c>
      <c r="E54" s="41" t="s">
        <v>1254</v>
      </c>
      <c r="F54" s="28"/>
      <c r="G54" s="17"/>
      <c r="H54" s="3"/>
      <c r="I54" s="2"/>
      <c r="J54" s="29"/>
      <c r="K54" s="3"/>
      <c r="L54" s="17"/>
      <c r="M54" s="34"/>
      <c r="N54" s="3"/>
      <c r="O54" s="17"/>
      <c r="P54" s="3"/>
      <c r="Q54" s="2"/>
      <c r="R54" s="3"/>
      <c r="S54" s="3"/>
      <c r="T54" s="17"/>
      <c r="U54" s="8">
        <f t="shared" si="0"/>
        <v>0</v>
      </c>
      <c r="V54" s="8"/>
      <c r="W54" s="8"/>
      <c r="X54" s="8"/>
      <c r="Y54" s="8"/>
      <c r="Z54" s="8"/>
      <c r="AA54" s="8"/>
      <c r="AB54" s="8"/>
      <c r="AC54" s="8">
        <f t="shared" si="1"/>
        <v>0</v>
      </c>
      <c r="AD54" s="8"/>
      <c r="AE54" s="8"/>
      <c r="AF54" s="8"/>
      <c r="AG54" s="8"/>
      <c r="AH54" s="8"/>
      <c r="AI54" s="8"/>
      <c r="AJ54" s="8"/>
      <c r="AK54" s="8"/>
      <c r="AL54" s="8"/>
      <c r="AM54" s="8">
        <v>34802688</v>
      </c>
      <c r="AN54" s="8">
        <f t="shared" si="2"/>
        <v>34802688</v>
      </c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>
        <v>114472460</v>
      </c>
      <c r="AZ54" s="8"/>
      <c r="BA54" s="8">
        <f>VLOOKUP(B54,[1]Hoja3!J$3:K$674,2,0)</f>
        <v>220829202</v>
      </c>
      <c r="BB54" s="8"/>
      <c r="BC54" s="8">
        <f t="shared" si="3"/>
        <v>370104350</v>
      </c>
      <c r="BD54" s="4">
        <v>114472460</v>
      </c>
      <c r="BE54" s="4">
        <f t="shared" si="4"/>
        <v>255631890</v>
      </c>
      <c r="BF54" s="30">
        <f t="shared" si="5"/>
        <v>370104350</v>
      </c>
      <c r="BG54" s="18">
        <f t="shared" si="6"/>
        <v>0</v>
      </c>
      <c r="BH54" s="23"/>
      <c r="BI54" s="23"/>
      <c r="BJ54" s="14"/>
      <c r="BK54" s="14"/>
      <c r="BL54" s="14"/>
      <c r="BM54" s="14"/>
      <c r="BN54" s="14"/>
    </row>
    <row r="55" spans="1:66" ht="15" customHeight="1" x14ac:dyDescent="0.2">
      <c r="A55" s="1">
        <v>8917800410</v>
      </c>
      <c r="B55" s="1">
        <v>891780041</v>
      </c>
      <c r="C55" s="15">
        <v>215347053</v>
      </c>
      <c r="D55" s="16" t="s">
        <v>641</v>
      </c>
      <c r="E55" s="41" t="s">
        <v>1661</v>
      </c>
      <c r="F55" s="28"/>
      <c r="G55" s="2"/>
      <c r="H55" s="3"/>
      <c r="I55" s="2"/>
      <c r="J55" s="29"/>
      <c r="K55" s="3"/>
      <c r="L55" s="2"/>
      <c r="M55" s="8"/>
      <c r="N55" s="3"/>
      <c r="O55" s="2"/>
      <c r="P55" s="3"/>
      <c r="Q55" s="2"/>
      <c r="R55" s="3"/>
      <c r="S55" s="3"/>
      <c r="T55" s="2"/>
      <c r="U55" s="8">
        <f t="shared" si="0"/>
        <v>0</v>
      </c>
      <c r="V55" s="8"/>
      <c r="W55" s="8"/>
      <c r="X55" s="8"/>
      <c r="Y55" s="8"/>
      <c r="Z55" s="8"/>
      <c r="AA55" s="8"/>
      <c r="AB55" s="8"/>
      <c r="AC55" s="8">
        <f t="shared" si="1"/>
        <v>0</v>
      </c>
      <c r="AD55" s="8"/>
      <c r="AE55" s="8"/>
      <c r="AF55" s="8"/>
      <c r="AG55" s="8"/>
      <c r="AH55" s="8"/>
      <c r="AI55" s="8"/>
      <c r="AJ55" s="8"/>
      <c r="AK55" s="8"/>
      <c r="AL55" s="8"/>
      <c r="AM55" s="8">
        <v>207970076</v>
      </c>
      <c r="AN55" s="8">
        <f t="shared" si="2"/>
        <v>207970076</v>
      </c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>
        <v>396910180</v>
      </c>
      <c r="AZ55" s="8"/>
      <c r="BA55" s="8">
        <f>VLOOKUP(B55,[1]Hoja3!J$3:K$674,2,0)</f>
        <v>494213191</v>
      </c>
      <c r="BB55" s="8"/>
      <c r="BC55" s="8">
        <f t="shared" si="3"/>
        <v>1099093447</v>
      </c>
      <c r="BD55" s="4">
        <v>396910180</v>
      </c>
      <c r="BE55" s="4">
        <f t="shared" si="4"/>
        <v>702183267</v>
      </c>
      <c r="BF55" s="30">
        <f t="shared" si="5"/>
        <v>1099093447</v>
      </c>
      <c r="BG55" s="18">
        <f t="shared" si="6"/>
        <v>0</v>
      </c>
      <c r="BH55" s="23"/>
      <c r="BI55" s="23"/>
      <c r="BJ55" s="23"/>
    </row>
    <row r="56" spans="1:66" ht="15" customHeight="1" x14ac:dyDescent="0.2">
      <c r="A56" s="1">
        <v>8908011424</v>
      </c>
      <c r="B56" s="1">
        <v>890801142</v>
      </c>
      <c r="C56" s="15">
        <v>215017050</v>
      </c>
      <c r="D56" s="16" t="s">
        <v>338</v>
      </c>
      <c r="E56" s="41" t="s">
        <v>1369</v>
      </c>
      <c r="F56" s="28"/>
      <c r="G56" s="2"/>
      <c r="H56" s="3"/>
      <c r="I56" s="2"/>
      <c r="J56" s="29"/>
      <c r="K56" s="3"/>
      <c r="L56" s="2"/>
      <c r="M56" s="8"/>
      <c r="N56" s="3"/>
      <c r="O56" s="2"/>
      <c r="P56" s="3"/>
      <c r="Q56" s="2"/>
      <c r="R56" s="3"/>
      <c r="S56" s="3"/>
      <c r="T56" s="2"/>
      <c r="U56" s="8">
        <f t="shared" si="0"/>
        <v>0</v>
      </c>
      <c r="V56" s="8"/>
      <c r="W56" s="8"/>
      <c r="X56" s="8"/>
      <c r="Y56" s="8"/>
      <c r="Z56" s="8"/>
      <c r="AA56" s="8"/>
      <c r="AB56" s="8"/>
      <c r="AC56" s="8">
        <f t="shared" si="1"/>
        <v>0</v>
      </c>
      <c r="AD56" s="8"/>
      <c r="AE56" s="8"/>
      <c r="AF56" s="8"/>
      <c r="AG56" s="8"/>
      <c r="AH56" s="8"/>
      <c r="AI56" s="8"/>
      <c r="AJ56" s="8"/>
      <c r="AK56" s="8"/>
      <c r="AL56" s="8"/>
      <c r="AM56" s="8">
        <v>167204788</v>
      </c>
      <c r="AN56" s="8">
        <f t="shared" si="2"/>
        <v>167204788</v>
      </c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>
        <v>87087040</v>
      </c>
      <c r="AZ56" s="8"/>
      <c r="BA56" s="8"/>
      <c r="BB56" s="8"/>
      <c r="BC56" s="8">
        <f t="shared" si="3"/>
        <v>254291828</v>
      </c>
      <c r="BD56" s="4">
        <v>87087040</v>
      </c>
      <c r="BE56" s="4">
        <f t="shared" si="4"/>
        <v>167204788</v>
      </c>
      <c r="BF56" s="30">
        <f t="shared" si="5"/>
        <v>254291828</v>
      </c>
      <c r="BG56" s="18">
        <f t="shared" si="6"/>
        <v>0</v>
      </c>
      <c r="BH56" s="23"/>
      <c r="BI56" s="23"/>
      <c r="BJ56" s="23"/>
    </row>
    <row r="57" spans="1:66" ht="15" customHeight="1" x14ac:dyDescent="0.2">
      <c r="A57" s="1">
        <v>8902053345</v>
      </c>
      <c r="B57" s="1">
        <v>890205334</v>
      </c>
      <c r="C57" s="15">
        <v>215168051</v>
      </c>
      <c r="D57" s="16" t="s">
        <v>814</v>
      </c>
      <c r="E57" s="41" t="s">
        <v>1832</v>
      </c>
      <c r="F57" s="28"/>
      <c r="G57" s="2"/>
      <c r="H57" s="3"/>
      <c r="I57" s="2"/>
      <c r="J57" s="29"/>
      <c r="K57" s="3"/>
      <c r="L57" s="2"/>
      <c r="M57" s="8"/>
      <c r="N57" s="3"/>
      <c r="O57" s="2"/>
      <c r="P57" s="3"/>
      <c r="Q57" s="2"/>
      <c r="R57" s="3"/>
      <c r="S57" s="3"/>
      <c r="T57" s="2"/>
      <c r="U57" s="8">
        <f t="shared" si="0"/>
        <v>0</v>
      </c>
      <c r="V57" s="8"/>
      <c r="W57" s="8"/>
      <c r="X57" s="8"/>
      <c r="Y57" s="8"/>
      <c r="Z57" s="8"/>
      <c r="AA57" s="8"/>
      <c r="AB57" s="8"/>
      <c r="AC57" s="8">
        <f t="shared" si="1"/>
        <v>0</v>
      </c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>
        <v>66162425</v>
      </c>
      <c r="AZ57" s="8"/>
      <c r="BA57" s="8">
        <f>VLOOKUP(B57,[1]Hoja3!J$3:K$674,2,0)</f>
        <v>136634093</v>
      </c>
      <c r="BB57" s="8"/>
      <c r="BC57" s="8">
        <f t="shared" si="3"/>
        <v>202796518</v>
      </c>
      <c r="BD57" s="4">
        <v>66162425</v>
      </c>
      <c r="BE57" s="4">
        <f t="shared" si="4"/>
        <v>136634093</v>
      </c>
      <c r="BF57" s="30">
        <f t="shared" si="5"/>
        <v>202796518</v>
      </c>
      <c r="BG57" s="18">
        <f t="shared" si="6"/>
        <v>0</v>
      </c>
      <c r="BH57" s="23"/>
      <c r="BI57" s="23"/>
      <c r="BJ57" s="23"/>
    </row>
    <row r="58" spans="1:66" ht="15" customHeight="1" x14ac:dyDescent="0.2">
      <c r="A58" s="1">
        <v>8001025040</v>
      </c>
      <c r="B58" s="1">
        <v>800102504</v>
      </c>
      <c r="C58" s="15">
        <v>210181001</v>
      </c>
      <c r="D58" s="16" t="s">
        <v>948</v>
      </c>
      <c r="E58" s="41" t="s">
        <v>2009</v>
      </c>
      <c r="F58" s="28"/>
      <c r="G58" s="2"/>
      <c r="H58" s="3"/>
      <c r="I58" s="2"/>
      <c r="J58" s="29"/>
      <c r="K58" s="3"/>
      <c r="L58" s="2"/>
      <c r="M58" s="8"/>
      <c r="N58" s="3"/>
      <c r="O58" s="2"/>
      <c r="P58" s="3"/>
      <c r="Q58" s="2"/>
      <c r="R58" s="3"/>
      <c r="S58" s="3"/>
      <c r="T58" s="2"/>
      <c r="U58" s="8">
        <f t="shared" si="0"/>
        <v>0</v>
      </c>
      <c r="V58" s="8"/>
      <c r="W58" s="8"/>
      <c r="X58" s="8"/>
      <c r="Y58" s="8"/>
      <c r="Z58" s="8"/>
      <c r="AA58" s="8"/>
      <c r="AB58" s="8"/>
      <c r="AC58" s="8">
        <f t="shared" si="1"/>
        <v>0</v>
      </c>
      <c r="AD58" s="8"/>
      <c r="AE58" s="8"/>
      <c r="AF58" s="8"/>
      <c r="AG58" s="8"/>
      <c r="AH58" s="8"/>
      <c r="AI58" s="8"/>
      <c r="AJ58" s="8"/>
      <c r="AK58" s="8"/>
      <c r="AL58" s="8"/>
      <c r="AM58" s="8">
        <v>1214802672</v>
      </c>
      <c r="AN58" s="8">
        <f>SUBTOTAL(9,AC58:AM58)</f>
        <v>1214802672</v>
      </c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>
        <v>511510620</v>
      </c>
      <c r="AZ58" s="8"/>
      <c r="BA58" s="8"/>
      <c r="BB58" s="8">
        <f>VLOOKUP(B58,'[2]anuladas en mayo gratuidad}'!K$2:L$55,2,0)</f>
        <v>85011406</v>
      </c>
      <c r="BC58" s="8">
        <f t="shared" si="3"/>
        <v>1641301886</v>
      </c>
      <c r="BD58" s="4">
        <v>511510620</v>
      </c>
      <c r="BE58" s="4">
        <f t="shared" si="4"/>
        <v>1129791266</v>
      </c>
      <c r="BF58" s="30">
        <f t="shared" si="5"/>
        <v>1641301886</v>
      </c>
      <c r="BG58" s="18">
        <f t="shared" si="6"/>
        <v>0</v>
      </c>
      <c r="BH58" s="23"/>
      <c r="BI58" s="23"/>
      <c r="BJ58" s="23"/>
    </row>
    <row r="59" spans="1:66" ht="15" customHeight="1" x14ac:dyDescent="0.2">
      <c r="A59" s="1">
        <v>8920994947</v>
      </c>
      <c r="B59" s="1">
        <v>892099494</v>
      </c>
      <c r="C59" s="15">
        <v>216581065</v>
      </c>
      <c r="D59" s="16" t="s">
        <v>949</v>
      </c>
      <c r="E59" s="41" t="s">
        <v>2010</v>
      </c>
      <c r="F59" s="28"/>
      <c r="G59" s="2"/>
      <c r="H59" s="3"/>
      <c r="I59" s="2"/>
      <c r="J59" s="29"/>
      <c r="K59" s="3"/>
      <c r="L59" s="2"/>
      <c r="M59" s="8"/>
      <c r="N59" s="3"/>
      <c r="O59" s="2"/>
      <c r="P59" s="3"/>
      <c r="Q59" s="2"/>
      <c r="R59" s="3"/>
      <c r="S59" s="3"/>
      <c r="T59" s="2"/>
      <c r="U59" s="8">
        <f t="shared" si="0"/>
        <v>0</v>
      </c>
      <c r="V59" s="8"/>
      <c r="W59" s="8"/>
      <c r="X59" s="8"/>
      <c r="Y59" s="8"/>
      <c r="Z59" s="8"/>
      <c r="AA59" s="8"/>
      <c r="AB59" s="8"/>
      <c r="AC59" s="8">
        <f t="shared" si="1"/>
        <v>0</v>
      </c>
      <c r="AD59" s="8"/>
      <c r="AE59" s="8"/>
      <c r="AF59" s="8"/>
      <c r="AG59" s="8"/>
      <c r="AH59" s="8"/>
      <c r="AI59" s="8"/>
      <c r="AJ59" s="8"/>
      <c r="AK59" s="8"/>
      <c r="AL59" s="8"/>
      <c r="AM59" s="8">
        <v>40990993</v>
      </c>
      <c r="AN59" s="8">
        <f>SUBTOTAL(9,AC59:AM59)</f>
        <v>40990993</v>
      </c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>
        <v>317134245</v>
      </c>
      <c r="AZ59" s="8"/>
      <c r="BA59" s="8">
        <f>VLOOKUP(B59,[1]Hoja3!J$3:K$674,2,0)</f>
        <v>679374653</v>
      </c>
      <c r="BB59" s="8"/>
      <c r="BC59" s="8">
        <f t="shared" si="3"/>
        <v>1037499891</v>
      </c>
      <c r="BD59" s="4">
        <v>317134245</v>
      </c>
      <c r="BE59" s="4">
        <f t="shared" si="4"/>
        <v>720365646</v>
      </c>
      <c r="BF59" s="30">
        <f t="shared" si="5"/>
        <v>1037499891</v>
      </c>
      <c r="BG59" s="18">
        <f t="shared" si="6"/>
        <v>0</v>
      </c>
      <c r="BH59" s="23"/>
      <c r="BI59" s="23"/>
      <c r="BJ59" s="23"/>
    </row>
    <row r="60" spans="1:66" ht="15" customHeight="1" x14ac:dyDescent="0.2">
      <c r="A60" s="1">
        <v>8000933868</v>
      </c>
      <c r="B60" s="1">
        <v>800093386</v>
      </c>
      <c r="C60" s="15">
        <v>215325053</v>
      </c>
      <c r="D60" s="16" t="s">
        <v>464</v>
      </c>
      <c r="E60" s="41" t="s">
        <v>1491</v>
      </c>
      <c r="F60" s="28"/>
      <c r="G60" s="2"/>
      <c r="H60" s="3"/>
      <c r="I60" s="2"/>
      <c r="J60" s="29"/>
      <c r="K60" s="3"/>
      <c r="L60" s="2"/>
      <c r="M60" s="8"/>
      <c r="N60" s="3"/>
      <c r="O60" s="2"/>
      <c r="P60" s="3"/>
      <c r="Q60" s="2"/>
      <c r="R60" s="3"/>
      <c r="S60" s="3"/>
      <c r="T60" s="2"/>
      <c r="U60" s="8">
        <f t="shared" si="0"/>
        <v>0</v>
      </c>
      <c r="V60" s="8"/>
      <c r="W60" s="8"/>
      <c r="X60" s="8"/>
      <c r="Y60" s="8"/>
      <c r="Z60" s="8"/>
      <c r="AA60" s="8"/>
      <c r="AB60" s="8"/>
      <c r="AC60" s="8">
        <f t="shared" si="1"/>
        <v>0</v>
      </c>
      <c r="AD60" s="8"/>
      <c r="AE60" s="8"/>
      <c r="AF60" s="8"/>
      <c r="AG60" s="8"/>
      <c r="AH60" s="8"/>
      <c r="AI60" s="8"/>
      <c r="AJ60" s="8"/>
      <c r="AK60" s="8"/>
      <c r="AL60" s="8"/>
      <c r="AM60" s="8">
        <v>167120306</v>
      </c>
      <c r="AN60" s="8">
        <f>SUBTOTAL(9,AC60:AM60)</f>
        <v>167120306</v>
      </c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>
        <v>80984535</v>
      </c>
      <c r="AZ60" s="8"/>
      <c r="BA60" s="8"/>
      <c r="BB60" s="8"/>
      <c r="BC60" s="8">
        <f t="shared" si="3"/>
        <v>248104841</v>
      </c>
      <c r="BD60" s="4">
        <v>80984535</v>
      </c>
      <c r="BE60" s="4">
        <f t="shared" si="4"/>
        <v>167120306</v>
      </c>
      <c r="BF60" s="30">
        <f t="shared" si="5"/>
        <v>248104841</v>
      </c>
      <c r="BG60" s="18">
        <f t="shared" si="6"/>
        <v>0</v>
      </c>
      <c r="BH60" s="23"/>
      <c r="BI60" s="23"/>
      <c r="BJ60" s="23"/>
    </row>
    <row r="61" spans="1:66" ht="15" customHeight="1" x14ac:dyDescent="0.2">
      <c r="A61" s="1">
        <v>8000990584</v>
      </c>
      <c r="B61" s="1">
        <v>800099058</v>
      </c>
      <c r="C61" s="15">
        <v>215152051</v>
      </c>
      <c r="D61" s="16" t="s">
        <v>695</v>
      </c>
      <c r="E61" s="41" t="s">
        <v>1718</v>
      </c>
      <c r="F61" s="28"/>
      <c r="G61" s="2"/>
      <c r="H61" s="3"/>
      <c r="I61" s="2"/>
      <c r="J61" s="29"/>
      <c r="K61" s="3"/>
      <c r="L61" s="2"/>
      <c r="M61" s="8"/>
      <c r="N61" s="3"/>
      <c r="O61" s="2"/>
      <c r="P61" s="3"/>
      <c r="Q61" s="2"/>
      <c r="R61" s="3"/>
      <c r="S61" s="3"/>
      <c r="T61" s="2"/>
      <c r="U61" s="8">
        <f t="shared" si="0"/>
        <v>0</v>
      </c>
      <c r="V61" s="8"/>
      <c r="W61" s="8"/>
      <c r="X61" s="8"/>
      <c r="Y61" s="8"/>
      <c r="Z61" s="8"/>
      <c r="AA61" s="8"/>
      <c r="AB61" s="8"/>
      <c r="AC61" s="8">
        <f t="shared" si="1"/>
        <v>0</v>
      </c>
      <c r="AD61" s="8"/>
      <c r="AE61" s="8"/>
      <c r="AF61" s="8"/>
      <c r="AG61" s="8"/>
      <c r="AH61" s="8"/>
      <c r="AI61" s="8"/>
      <c r="AJ61" s="8"/>
      <c r="AK61" s="8"/>
      <c r="AL61" s="8"/>
      <c r="AM61" s="8">
        <v>17943751</v>
      </c>
      <c r="AN61" s="8">
        <f>SUBTOTAL(9,AC61:AM61)</f>
        <v>17943751</v>
      </c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>
        <f>VLOOKUP(B61,[1]Hoja3!J$3:K$674,2,0)</f>
        <v>102518105</v>
      </c>
      <c r="BB61" s="8"/>
      <c r="BC61" s="8">
        <f t="shared" si="3"/>
        <v>120461856</v>
      </c>
      <c r="BD61" s="4"/>
      <c r="BE61" s="4">
        <f t="shared" si="4"/>
        <v>120461856</v>
      </c>
      <c r="BF61" s="30">
        <f t="shared" si="5"/>
        <v>120461856</v>
      </c>
      <c r="BG61" s="18">
        <f t="shared" si="6"/>
        <v>0</v>
      </c>
      <c r="BH61" s="23"/>
      <c r="BI61" s="23"/>
      <c r="BJ61" s="23"/>
    </row>
    <row r="62" spans="1:66" ht="15" customHeight="1" x14ac:dyDescent="0.2">
      <c r="A62" s="1">
        <v>8905014367</v>
      </c>
      <c r="B62" s="1">
        <v>890501436</v>
      </c>
      <c r="C62" s="15">
        <v>215154051</v>
      </c>
      <c r="D62" s="16" t="s">
        <v>752</v>
      </c>
      <c r="E62" s="41" t="s">
        <v>1773</v>
      </c>
      <c r="F62" s="28"/>
      <c r="G62" s="2"/>
      <c r="H62" s="3"/>
      <c r="I62" s="2"/>
      <c r="J62" s="29"/>
      <c r="K62" s="3"/>
      <c r="L62" s="2"/>
      <c r="M62" s="8"/>
      <c r="N62" s="3"/>
      <c r="O62" s="2"/>
      <c r="P62" s="3"/>
      <c r="Q62" s="2"/>
      <c r="R62" s="3"/>
      <c r="S62" s="3"/>
      <c r="T62" s="2"/>
      <c r="U62" s="8">
        <f t="shared" si="0"/>
        <v>0</v>
      </c>
      <c r="V62" s="8"/>
      <c r="W62" s="8"/>
      <c r="X62" s="8"/>
      <c r="Y62" s="8"/>
      <c r="Z62" s="8"/>
      <c r="AA62" s="8"/>
      <c r="AB62" s="8"/>
      <c r="AC62" s="8">
        <f t="shared" si="1"/>
        <v>0</v>
      </c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>
        <f>VLOOKUP(B62,[1]Hoja3!J$3:K$674,2,0)</f>
        <v>140225220</v>
      </c>
      <c r="BB62" s="8"/>
      <c r="BC62" s="8">
        <f t="shared" si="3"/>
        <v>140225220</v>
      </c>
      <c r="BD62" s="4"/>
      <c r="BE62" s="4">
        <f t="shared" si="4"/>
        <v>140225220</v>
      </c>
      <c r="BF62" s="30">
        <f t="shared" si="5"/>
        <v>140225220</v>
      </c>
      <c r="BG62" s="18">
        <f t="shared" si="6"/>
        <v>0</v>
      </c>
      <c r="BH62" s="23"/>
      <c r="BI62" s="23"/>
      <c r="BJ62" s="23"/>
    </row>
    <row r="63" spans="1:66" ht="15" customHeight="1" x14ac:dyDescent="0.2">
      <c r="A63" s="1">
        <v>8909856234</v>
      </c>
      <c r="B63" s="1">
        <v>890985623</v>
      </c>
      <c r="C63" s="15">
        <v>215105051</v>
      </c>
      <c r="D63" s="16" t="s">
        <v>55</v>
      </c>
      <c r="E63" s="41" t="s">
        <v>1086</v>
      </c>
      <c r="F63" s="28"/>
      <c r="G63" s="2"/>
      <c r="H63" s="3"/>
      <c r="I63" s="2"/>
      <c r="J63" s="29"/>
      <c r="K63" s="3"/>
      <c r="L63" s="2"/>
      <c r="M63" s="8"/>
      <c r="N63" s="3"/>
      <c r="O63" s="2"/>
      <c r="P63" s="3"/>
      <c r="Q63" s="2"/>
      <c r="R63" s="3"/>
      <c r="S63" s="3"/>
      <c r="T63" s="2"/>
      <c r="U63" s="8">
        <f t="shared" si="0"/>
        <v>0</v>
      </c>
      <c r="V63" s="8"/>
      <c r="W63" s="8"/>
      <c r="X63" s="8"/>
      <c r="Y63" s="8"/>
      <c r="Z63" s="8"/>
      <c r="AA63" s="8"/>
      <c r="AB63" s="8"/>
      <c r="AC63" s="8">
        <f t="shared" si="1"/>
        <v>0</v>
      </c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>
        <v>482624965</v>
      </c>
      <c r="AZ63" s="8"/>
      <c r="BA63" s="8">
        <f>VLOOKUP(B63,[1]Hoja3!J$3:K$674,2,0)</f>
        <v>645262433</v>
      </c>
      <c r="BB63" s="8"/>
      <c r="BC63" s="8">
        <f t="shared" si="3"/>
        <v>1127887398</v>
      </c>
      <c r="BD63" s="4">
        <v>482624965</v>
      </c>
      <c r="BE63" s="4">
        <f t="shared" si="4"/>
        <v>645262433</v>
      </c>
      <c r="BF63" s="30">
        <f t="shared" si="5"/>
        <v>1127887398</v>
      </c>
      <c r="BG63" s="18">
        <f t="shared" si="6"/>
        <v>0</v>
      </c>
      <c r="BH63" s="23"/>
      <c r="BI63" s="23"/>
      <c r="BJ63" s="23"/>
    </row>
    <row r="64" spans="1:66" ht="15" customHeight="1" x14ac:dyDescent="0.2">
      <c r="A64" s="1">
        <v>8000637911</v>
      </c>
      <c r="B64" s="1">
        <v>800063791</v>
      </c>
      <c r="C64" s="15">
        <v>215115051</v>
      </c>
      <c r="D64" s="16" t="s">
        <v>220</v>
      </c>
      <c r="E64" s="41" t="s">
        <v>1255</v>
      </c>
      <c r="F64" s="28"/>
      <c r="G64" s="17"/>
      <c r="H64" s="3"/>
      <c r="I64" s="2"/>
      <c r="J64" s="29"/>
      <c r="K64" s="3"/>
      <c r="L64" s="17"/>
      <c r="M64" s="34"/>
      <c r="N64" s="3"/>
      <c r="O64" s="17"/>
      <c r="P64" s="3"/>
      <c r="Q64" s="2"/>
      <c r="R64" s="3"/>
      <c r="S64" s="3"/>
      <c r="T64" s="17"/>
      <c r="U64" s="8">
        <f t="shared" si="0"/>
        <v>0</v>
      </c>
      <c r="V64" s="8"/>
      <c r="W64" s="8"/>
      <c r="X64" s="8"/>
      <c r="Y64" s="8"/>
      <c r="Z64" s="8"/>
      <c r="AA64" s="8"/>
      <c r="AB64" s="8"/>
      <c r="AC64" s="8">
        <f t="shared" si="1"/>
        <v>0</v>
      </c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>
        <v>35414810</v>
      </c>
      <c r="AZ64" s="8"/>
      <c r="BA64" s="8">
        <f>VLOOKUP(B64,[1]Hoja3!J$3:K$674,2,0)</f>
        <v>89404472</v>
      </c>
      <c r="BB64" s="8"/>
      <c r="BC64" s="8">
        <f t="shared" si="3"/>
        <v>124819282</v>
      </c>
      <c r="BD64" s="4">
        <v>35414810</v>
      </c>
      <c r="BE64" s="4">
        <f t="shared" si="4"/>
        <v>89404472</v>
      </c>
      <c r="BF64" s="30">
        <f t="shared" si="5"/>
        <v>124819282</v>
      </c>
      <c r="BG64" s="18">
        <f t="shared" si="6"/>
        <v>0</v>
      </c>
      <c r="BH64" s="23"/>
      <c r="BI64" s="23"/>
      <c r="BJ64" s="14"/>
      <c r="BK64" s="14"/>
      <c r="BL64" s="14"/>
      <c r="BM64" s="14"/>
      <c r="BN64" s="14"/>
    </row>
    <row r="65" spans="1:66" ht="15" customHeight="1" x14ac:dyDescent="0.2">
      <c r="A65" s="1">
        <v>8060019374</v>
      </c>
      <c r="B65" s="1">
        <v>806001937</v>
      </c>
      <c r="C65" s="15">
        <v>214213042</v>
      </c>
      <c r="D65" s="16" t="s">
        <v>183</v>
      </c>
      <c r="E65" s="41" t="s">
        <v>1212</v>
      </c>
      <c r="F65" s="28"/>
      <c r="G65" s="17"/>
      <c r="H65" s="3"/>
      <c r="I65" s="2"/>
      <c r="J65" s="29"/>
      <c r="K65" s="3"/>
      <c r="L65" s="17"/>
      <c r="M65" s="34"/>
      <c r="N65" s="3"/>
      <c r="O65" s="17"/>
      <c r="P65" s="3"/>
      <c r="Q65" s="2"/>
      <c r="R65" s="3"/>
      <c r="S65" s="3"/>
      <c r="T65" s="17"/>
      <c r="U65" s="8">
        <f t="shared" si="0"/>
        <v>0</v>
      </c>
      <c r="V65" s="8"/>
      <c r="W65" s="8"/>
      <c r="X65" s="8"/>
      <c r="Y65" s="8"/>
      <c r="Z65" s="8"/>
      <c r="AA65" s="8"/>
      <c r="AB65" s="8"/>
      <c r="AC65" s="8">
        <f t="shared" si="1"/>
        <v>0</v>
      </c>
      <c r="AD65" s="8"/>
      <c r="AE65" s="8"/>
      <c r="AF65" s="8"/>
      <c r="AG65" s="8"/>
      <c r="AH65" s="8"/>
      <c r="AI65" s="8"/>
      <c r="AJ65" s="8"/>
      <c r="AK65" s="8"/>
      <c r="AL65" s="8"/>
      <c r="AM65" s="8">
        <v>99820736</v>
      </c>
      <c r="AN65" s="8">
        <f>SUBTOTAL(9,AC65:AM65)</f>
        <v>99820736</v>
      </c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>
        <v>86213525</v>
      </c>
      <c r="AZ65" s="8"/>
      <c r="BA65" s="8">
        <f>VLOOKUP(B65,[1]Hoja3!J$3:K$674,2,0)</f>
        <v>40495032</v>
      </c>
      <c r="BB65" s="8">
        <f>VLOOKUP(B65,'[2]anuladas en mayo gratuidad}'!K$2:L$55,2,0)</f>
        <v>99820736</v>
      </c>
      <c r="BC65" s="8">
        <f t="shared" si="3"/>
        <v>126708557</v>
      </c>
      <c r="BD65" s="4">
        <v>86213525</v>
      </c>
      <c r="BE65" s="4">
        <f t="shared" si="4"/>
        <v>40495032</v>
      </c>
      <c r="BF65" s="30">
        <f t="shared" si="5"/>
        <v>126708557</v>
      </c>
      <c r="BG65" s="18">
        <f t="shared" si="6"/>
        <v>0</v>
      </c>
      <c r="BH65" s="23"/>
      <c r="BI65" s="23"/>
      <c r="BJ65" s="14"/>
      <c r="BK65" s="14"/>
      <c r="BL65" s="14"/>
      <c r="BM65" s="14"/>
      <c r="BN65" s="14"/>
    </row>
    <row r="66" spans="1:66" ht="15" customHeight="1" x14ac:dyDescent="0.2">
      <c r="A66" s="1">
        <v>8909817868</v>
      </c>
      <c r="B66" s="1">
        <v>890981786</v>
      </c>
      <c r="C66" s="15">
        <v>215505055</v>
      </c>
      <c r="D66" s="16" t="s">
        <v>56</v>
      </c>
      <c r="E66" s="41" t="s">
        <v>1087</v>
      </c>
      <c r="F66" s="28"/>
      <c r="G66" s="2"/>
      <c r="H66" s="3"/>
      <c r="I66" s="2"/>
      <c r="J66" s="29"/>
      <c r="K66" s="3"/>
      <c r="L66" s="2"/>
      <c r="M66" s="8"/>
      <c r="N66" s="3"/>
      <c r="O66" s="2"/>
      <c r="P66" s="3"/>
      <c r="Q66" s="2"/>
      <c r="R66" s="3"/>
      <c r="S66" s="3"/>
      <c r="T66" s="2"/>
      <c r="U66" s="8">
        <f t="shared" si="0"/>
        <v>0</v>
      </c>
      <c r="V66" s="8"/>
      <c r="W66" s="8"/>
      <c r="X66" s="8"/>
      <c r="Y66" s="8"/>
      <c r="Z66" s="8"/>
      <c r="AA66" s="8"/>
      <c r="AB66" s="8"/>
      <c r="AC66" s="8">
        <f t="shared" si="1"/>
        <v>0</v>
      </c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>
        <v>69825675</v>
      </c>
      <c r="AZ66" s="8"/>
      <c r="BA66" s="8">
        <f>VLOOKUP(B66,[1]Hoja3!J$3:K$674,2,0)</f>
        <v>114474878</v>
      </c>
      <c r="BB66" s="8"/>
      <c r="BC66" s="8">
        <f t="shared" si="3"/>
        <v>184300553</v>
      </c>
      <c r="BD66" s="4">
        <v>69825675</v>
      </c>
      <c r="BE66" s="4">
        <f t="shared" si="4"/>
        <v>114474878</v>
      </c>
      <c r="BF66" s="30">
        <f t="shared" si="5"/>
        <v>184300553</v>
      </c>
      <c r="BG66" s="18">
        <f t="shared" si="6"/>
        <v>0</v>
      </c>
      <c r="BH66" s="23"/>
      <c r="BI66" s="23"/>
      <c r="BJ66" s="23"/>
    </row>
    <row r="67" spans="1:66" ht="15" customHeight="1" x14ac:dyDescent="0.2">
      <c r="A67" s="1">
        <v>8915007251</v>
      </c>
      <c r="B67" s="1">
        <v>891500725</v>
      </c>
      <c r="C67" s="15">
        <v>215019050</v>
      </c>
      <c r="D67" s="16" t="s">
        <v>374</v>
      </c>
      <c r="E67" s="41" t="s">
        <v>1406</v>
      </c>
      <c r="F67" s="28"/>
      <c r="G67" s="2"/>
      <c r="H67" s="3"/>
      <c r="I67" s="2"/>
      <c r="J67" s="29"/>
      <c r="K67" s="3"/>
      <c r="L67" s="2"/>
      <c r="M67" s="8"/>
      <c r="N67" s="3"/>
      <c r="O67" s="2"/>
      <c r="P67" s="3"/>
      <c r="Q67" s="2"/>
      <c r="R67" s="3"/>
      <c r="S67" s="3"/>
      <c r="T67" s="2"/>
      <c r="U67" s="8">
        <f t="shared" ref="U67:U130" si="7">SUM(M67:T67)</f>
        <v>0</v>
      </c>
      <c r="V67" s="8"/>
      <c r="W67" s="8"/>
      <c r="X67" s="8"/>
      <c r="Y67" s="8"/>
      <c r="Z67" s="8"/>
      <c r="AA67" s="8"/>
      <c r="AB67" s="8"/>
      <c r="AC67" s="8">
        <f t="shared" si="1"/>
        <v>0</v>
      </c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>
        <f>VLOOKUP(B67,[1]Hoja3!J$3:K$674,2,0)</f>
        <v>354038940</v>
      </c>
      <c r="BB67" s="8"/>
      <c r="BC67" s="8">
        <f t="shared" si="3"/>
        <v>354038940</v>
      </c>
      <c r="BD67" s="4"/>
      <c r="BE67" s="4">
        <f t="shared" si="4"/>
        <v>354038940</v>
      </c>
      <c r="BF67" s="30">
        <f t="shared" si="5"/>
        <v>354038940</v>
      </c>
      <c r="BG67" s="18">
        <f t="shared" si="6"/>
        <v>0</v>
      </c>
      <c r="BH67" s="23"/>
      <c r="BI67" s="23"/>
      <c r="BJ67" s="23"/>
    </row>
    <row r="68" spans="1:66" ht="15" customHeight="1" x14ac:dyDescent="0.2">
      <c r="A68" s="1">
        <v>8919010199</v>
      </c>
      <c r="B68" s="1">
        <v>891901019</v>
      </c>
      <c r="C68" s="15">
        <v>215476054</v>
      </c>
      <c r="D68" s="16" t="s">
        <v>915</v>
      </c>
      <c r="E68" s="41" t="s">
        <v>1977</v>
      </c>
      <c r="F68" s="28"/>
      <c r="G68" s="17"/>
      <c r="H68" s="3"/>
      <c r="I68" s="2"/>
      <c r="J68" s="29"/>
      <c r="K68" s="3"/>
      <c r="L68" s="17"/>
      <c r="M68" s="34"/>
      <c r="N68" s="3"/>
      <c r="O68" s="17"/>
      <c r="P68" s="3"/>
      <c r="Q68" s="2"/>
      <c r="R68" s="3"/>
      <c r="S68" s="3"/>
      <c r="T68" s="17"/>
      <c r="U68" s="8">
        <f t="shared" si="7"/>
        <v>0</v>
      </c>
      <c r="V68" s="8"/>
      <c r="W68" s="8"/>
      <c r="X68" s="8"/>
      <c r="Y68" s="8"/>
      <c r="Z68" s="8"/>
      <c r="AA68" s="8"/>
      <c r="AB68" s="8"/>
      <c r="AC68" s="8">
        <f t="shared" ref="AC68:AC131" si="8">SUM(U68:AB68)</f>
        <v>0</v>
      </c>
      <c r="AD68" s="8"/>
      <c r="AE68" s="8"/>
      <c r="AF68" s="8"/>
      <c r="AG68" s="8"/>
      <c r="AH68" s="8"/>
      <c r="AI68" s="8"/>
      <c r="AJ68" s="8"/>
      <c r="AK68" s="8"/>
      <c r="AL68" s="8"/>
      <c r="AM68" s="8">
        <v>72506561</v>
      </c>
      <c r="AN68" s="8">
        <f>SUBTOTAL(9,AC68:AM68)</f>
        <v>72506561</v>
      </c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>
        <v>40594440</v>
      </c>
      <c r="AZ68" s="8"/>
      <c r="BA68" s="8"/>
      <c r="BB68" s="8"/>
      <c r="BC68" s="8">
        <f t="shared" ref="BC68:BC131" si="9">SUM(AN68:BA68)-BB68</f>
        <v>113101001</v>
      </c>
      <c r="BD68" s="4">
        <v>40594440</v>
      </c>
      <c r="BE68" s="4">
        <f t="shared" ref="BE68:BE131" si="10">+AM68+BA68-BB68</f>
        <v>72506561</v>
      </c>
      <c r="BF68" s="30">
        <f t="shared" ref="BF68:BF131" si="11">+BD68+BE68</f>
        <v>113101001</v>
      </c>
      <c r="BG68" s="18">
        <f t="shared" ref="BG68:BG131" si="12">+BC68-BF68</f>
        <v>0</v>
      </c>
      <c r="BH68" s="23"/>
      <c r="BI68" s="23"/>
      <c r="BJ68" s="14"/>
      <c r="BK68" s="14"/>
      <c r="BL68" s="14"/>
      <c r="BM68" s="14"/>
      <c r="BN68" s="14"/>
    </row>
    <row r="69" spans="1:66" ht="15" customHeight="1" x14ac:dyDescent="0.2">
      <c r="A69" s="1">
        <v>8917021867</v>
      </c>
      <c r="B69" s="1">
        <v>891702186</v>
      </c>
      <c r="C69" s="15">
        <v>215847058</v>
      </c>
      <c r="D69" s="16" t="s">
        <v>642</v>
      </c>
      <c r="E69" s="41" t="s">
        <v>1662</v>
      </c>
      <c r="F69" s="28"/>
      <c r="G69" s="2"/>
      <c r="H69" s="3"/>
      <c r="I69" s="2"/>
      <c r="J69" s="29"/>
      <c r="K69" s="3"/>
      <c r="L69" s="2"/>
      <c r="M69" s="8"/>
      <c r="N69" s="3"/>
      <c r="O69" s="2"/>
      <c r="P69" s="3"/>
      <c r="Q69" s="2"/>
      <c r="R69" s="3"/>
      <c r="S69" s="3"/>
      <c r="T69" s="2"/>
      <c r="U69" s="8">
        <f t="shared" si="7"/>
        <v>0</v>
      </c>
      <c r="V69" s="8"/>
      <c r="W69" s="8"/>
      <c r="X69" s="8"/>
      <c r="Y69" s="8"/>
      <c r="Z69" s="8"/>
      <c r="AA69" s="8"/>
      <c r="AB69" s="8"/>
      <c r="AC69" s="8">
        <f t="shared" si="8"/>
        <v>0</v>
      </c>
      <c r="AD69" s="8"/>
      <c r="AE69" s="8"/>
      <c r="AF69" s="8"/>
      <c r="AG69" s="8"/>
      <c r="AH69" s="8"/>
      <c r="AI69" s="8"/>
      <c r="AJ69" s="8"/>
      <c r="AK69" s="8"/>
      <c r="AL69" s="8"/>
      <c r="AM69" s="8">
        <v>403298056</v>
      </c>
      <c r="AN69" s="8">
        <f>SUBTOTAL(9,AC69:AM69)</f>
        <v>403298056</v>
      </c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>
        <v>304719985</v>
      </c>
      <c r="AZ69" s="8"/>
      <c r="BA69" s="8">
        <f>VLOOKUP(B69,[1]Hoja3!J$3:K$674,2,0)</f>
        <v>260683594</v>
      </c>
      <c r="BB69" s="8"/>
      <c r="BC69" s="8">
        <f t="shared" si="9"/>
        <v>968701635</v>
      </c>
      <c r="BD69" s="4">
        <v>304719985</v>
      </c>
      <c r="BE69" s="4">
        <f t="shared" si="10"/>
        <v>663981650</v>
      </c>
      <c r="BF69" s="30">
        <f t="shared" si="11"/>
        <v>968701635</v>
      </c>
      <c r="BG69" s="18">
        <f t="shared" si="12"/>
        <v>0</v>
      </c>
      <c r="BH69" s="23"/>
      <c r="BI69" s="23"/>
      <c r="BJ69" s="23"/>
    </row>
    <row r="70" spans="1:66" ht="15" customHeight="1" x14ac:dyDescent="0.2">
      <c r="A70" s="1">
        <v>8904802541</v>
      </c>
      <c r="B70" s="1">
        <v>890480254</v>
      </c>
      <c r="C70" s="15">
        <v>215213052</v>
      </c>
      <c r="D70" s="16" t="s">
        <v>184</v>
      </c>
      <c r="E70" s="41" t="s">
        <v>1213</v>
      </c>
      <c r="F70" s="28"/>
      <c r="G70" s="17"/>
      <c r="H70" s="3"/>
      <c r="I70" s="2"/>
      <c r="J70" s="29"/>
      <c r="K70" s="3"/>
      <c r="L70" s="17"/>
      <c r="M70" s="34"/>
      <c r="N70" s="3"/>
      <c r="O70" s="17"/>
      <c r="P70" s="3"/>
      <c r="Q70" s="2"/>
      <c r="R70" s="3"/>
      <c r="S70" s="3"/>
      <c r="T70" s="17"/>
      <c r="U70" s="8">
        <f t="shared" si="7"/>
        <v>0</v>
      </c>
      <c r="V70" s="8"/>
      <c r="W70" s="8"/>
      <c r="X70" s="8"/>
      <c r="Y70" s="8"/>
      <c r="Z70" s="8"/>
      <c r="AA70" s="8"/>
      <c r="AB70" s="8"/>
      <c r="AC70" s="8">
        <f t="shared" si="8"/>
        <v>0</v>
      </c>
      <c r="AD70" s="8"/>
      <c r="AE70" s="8"/>
      <c r="AF70" s="8"/>
      <c r="AG70" s="8"/>
      <c r="AH70" s="8"/>
      <c r="AI70" s="8"/>
      <c r="AJ70" s="8"/>
      <c r="AK70" s="8"/>
      <c r="AL70" s="8"/>
      <c r="AM70" s="8">
        <v>667971857</v>
      </c>
      <c r="AN70" s="8">
        <f>SUBTOTAL(9,AC70:AM70)</f>
        <v>667971857</v>
      </c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>
        <v>607862880</v>
      </c>
      <c r="AZ70" s="8"/>
      <c r="BA70" s="8">
        <f>VLOOKUP(B70,[1]Hoja3!J$3:K$674,2,0)</f>
        <v>347613614</v>
      </c>
      <c r="BB70" s="8"/>
      <c r="BC70" s="8">
        <f t="shared" si="9"/>
        <v>1623448351</v>
      </c>
      <c r="BD70" s="4">
        <v>607862880</v>
      </c>
      <c r="BE70" s="4">
        <f t="shared" si="10"/>
        <v>1015585471</v>
      </c>
      <c r="BF70" s="30">
        <f t="shared" si="11"/>
        <v>1623448351</v>
      </c>
      <c r="BG70" s="18">
        <f t="shared" si="12"/>
        <v>0</v>
      </c>
      <c r="BH70" s="23"/>
      <c r="BI70" s="23"/>
      <c r="BJ70" s="14"/>
      <c r="BK70" s="14"/>
      <c r="BL70" s="14"/>
      <c r="BM70" s="14"/>
      <c r="BN70" s="14"/>
    </row>
    <row r="71" spans="1:66" ht="15" customHeight="1" x14ac:dyDescent="0.2">
      <c r="A71" s="1">
        <v>8900004643</v>
      </c>
      <c r="B71" s="1">
        <v>890000464</v>
      </c>
      <c r="C71" s="15">
        <v>210163001</v>
      </c>
      <c r="D71" s="16" t="s">
        <v>2143</v>
      </c>
      <c r="E71" s="53" t="s">
        <v>1032</v>
      </c>
      <c r="F71" s="28"/>
      <c r="G71" s="2"/>
      <c r="H71" s="3"/>
      <c r="I71" s="2">
        <f>6819819052+285275822</f>
        <v>7105094874</v>
      </c>
      <c r="J71" s="29">
        <v>426801048</v>
      </c>
      <c r="K71" s="3">
        <v>845680165</v>
      </c>
      <c r="L71" s="2"/>
      <c r="M71" s="37">
        <f>SUM(F71:L71)</f>
        <v>8377576087</v>
      </c>
      <c r="N71" s="3"/>
      <c r="O71" s="2"/>
      <c r="P71" s="3"/>
      <c r="Q71" s="2">
        <f>6612092610+129670828</f>
        <v>6741763438</v>
      </c>
      <c r="R71" s="3">
        <v>426801048</v>
      </c>
      <c r="S71" s="3">
        <f>418879117+426801048</f>
        <v>845680165</v>
      </c>
      <c r="T71" s="2"/>
      <c r="U71" s="8">
        <f t="shared" si="7"/>
        <v>16391820738</v>
      </c>
      <c r="V71" s="8"/>
      <c r="W71" s="8"/>
      <c r="X71" s="8"/>
      <c r="Y71" s="8">
        <v>9211561090</v>
      </c>
      <c r="Z71" s="8">
        <v>445591059</v>
      </c>
      <c r="AA71" s="8">
        <v>1007800211</v>
      </c>
      <c r="AB71" s="8"/>
      <c r="AC71" s="8">
        <f t="shared" si="8"/>
        <v>27056773098</v>
      </c>
      <c r="AD71" s="8"/>
      <c r="AE71" s="8"/>
      <c r="AF71" s="8"/>
      <c r="AG71" s="8"/>
      <c r="AH71" s="8">
        <v>6588301110</v>
      </c>
      <c r="AI71" s="8">
        <v>1132954411</v>
      </c>
      <c r="AJ71" s="8">
        <v>442386365</v>
      </c>
      <c r="AK71" s="8">
        <v>1114368851</v>
      </c>
      <c r="AL71" s="8"/>
      <c r="AM71" s="8">
        <v>2714636284</v>
      </c>
      <c r="AN71" s="8">
        <f>SUBTOTAL(9,AC71:AM71)</f>
        <v>39049420119</v>
      </c>
      <c r="AO71" s="8"/>
      <c r="AP71" s="8"/>
      <c r="AQ71" s="8">
        <v>1128241540</v>
      </c>
      <c r="AR71" s="8"/>
      <c r="AS71" s="8"/>
      <c r="AT71" s="8">
        <v>6588301110</v>
      </c>
      <c r="AU71" s="8"/>
      <c r="AV71" s="8">
        <v>442386365</v>
      </c>
      <c r="AW71" s="8">
        <v>754852993</v>
      </c>
      <c r="AX71" s="8"/>
      <c r="AY71" s="8"/>
      <c r="AZ71" s="8">
        <v>80000000</v>
      </c>
      <c r="BA71" s="8">
        <f>VLOOKUP(B71,[1]Hoja3!J$3:K$674,2,0)</f>
        <v>77077940</v>
      </c>
      <c r="BB71" s="8">
        <f>VLOOKUP(B71,'[2]anuladas en mayo gratuidad}'!K$2:L$55,2,0)</f>
        <v>135192782</v>
      </c>
      <c r="BC71" s="8">
        <f t="shared" si="9"/>
        <v>47985087285</v>
      </c>
      <c r="BD71" s="4">
        <v>45328565843</v>
      </c>
      <c r="BE71" s="4">
        <f t="shared" si="10"/>
        <v>2656521442</v>
      </c>
      <c r="BF71" s="30">
        <f t="shared" si="11"/>
        <v>47985087285</v>
      </c>
      <c r="BG71" s="18">
        <f t="shared" si="12"/>
        <v>0</v>
      </c>
      <c r="BH71" s="23"/>
      <c r="BI71" s="23"/>
      <c r="BJ71" s="23"/>
    </row>
    <row r="72" spans="1:66" ht="15" customHeight="1" x14ac:dyDescent="0.2">
      <c r="A72" s="1">
        <v>8909837638</v>
      </c>
      <c r="B72" s="1">
        <v>890983763</v>
      </c>
      <c r="C72" s="15">
        <v>215905059</v>
      </c>
      <c r="D72" s="16" t="s">
        <v>57</v>
      </c>
      <c r="E72" s="41" t="s">
        <v>1088</v>
      </c>
      <c r="F72" s="28"/>
      <c r="G72" s="2"/>
      <c r="H72" s="3"/>
      <c r="I72" s="2"/>
      <c r="J72" s="29"/>
      <c r="K72" s="3"/>
      <c r="L72" s="2"/>
      <c r="M72" s="8"/>
      <c r="N72" s="3"/>
      <c r="O72" s="2"/>
      <c r="P72" s="3"/>
      <c r="Q72" s="2"/>
      <c r="R72" s="3"/>
      <c r="S72" s="3"/>
      <c r="T72" s="2"/>
      <c r="U72" s="8">
        <f t="shared" si="7"/>
        <v>0</v>
      </c>
      <c r="V72" s="8"/>
      <c r="W72" s="8"/>
      <c r="X72" s="8"/>
      <c r="Y72" s="8"/>
      <c r="Z72" s="8"/>
      <c r="AA72" s="8"/>
      <c r="AB72" s="8"/>
      <c r="AC72" s="8">
        <f t="shared" si="8"/>
        <v>0</v>
      </c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>
        <f>VLOOKUP(B72,[1]Hoja3!J$3:K$674,2,0)</f>
        <v>45174517</v>
      </c>
      <c r="BB72" s="8"/>
      <c r="BC72" s="8">
        <f t="shared" si="9"/>
        <v>45174517</v>
      </c>
      <c r="BD72" s="4"/>
      <c r="BE72" s="4">
        <f t="shared" si="10"/>
        <v>45174517</v>
      </c>
      <c r="BF72" s="30">
        <f t="shared" si="11"/>
        <v>45174517</v>
      </c>
      <c r="BG72" s="18">
        <f t="shared" si="12"/>
        <v>0</v>
      </c>
      <c r="BH72" s="23"/>
      <c r="BI72" s="23"/>
      <c r="BJ72" s="23"/>
    </row>
    <row r="73" spans="1:66" ht="15" customHeight="1" x14ac:dyDescent="0.2">
      <c r="A73" s="1">
        <v>8060049006</v>
      </c>
      <c r="B73" s="1">
        <v>806004900</v>
      </c>
      <c r="C73" s="15">
        <v>216213062</v>
      </c>
      <c r="D73" s="16" t="s">
        <v>2164</v>
      </c>
      <c r="E73" s="41" t="s">
        <v>1214</v>
      </c>
      <c r="F73" s="28"/>
      <c r="G73" s="17"/>
      <c r="H73" s="3"/>
      <c r="I73" s="2"/>
      <c r="J73" s="29"/>
      <c r="K73" s="3"/>
      <c r="L73" s="17"/>
      <c r="M73" s="34"/>
      <c r="N73" s="3"/>
      <c r="O73" s="17"/>
      <c r="P73" s="3"/>
      <c r="Q73" s="2"/>
      <c r="R73" s="3"/>
      <c r="S73" s="3"/>
      <c r="T73" s="17"/>
      <c r="U73" s="8">
        <f t="shared" si="7"/>
        <v>0</v>
      </c>
      <c r="V73" s="8"/>
      <c r="W73" s="8"/>
      <c r="X73" s="8"/>
      <c r="Y73" s="8"/>
      <c r="Z73" s="8"/>
      <c r="AA73" s="8"/>
      <c r="AB73" s="8"/>
      <c r="AC73" s="8">
        <f t="shared" si="8"/>
        <v>0</v>
      </c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>
        <v>83279435</v>
      </c>
      <c r="AZ73" s="8"/>
      <c r="BA73" s="8">
        <f>VLOOKUP(B73,[1]Hoja3!J$3:K$674,2,0)</f>
        <v>134887792</v>
      </c>
      <c r="BB73" s="8"/>
      <c r="BC73" s="8">
        <f t="shared" si="9"/>
        <v>218167227</v>
      </c>
      <c r="BD73" s="4">
        <v>83279435</v>
      </c>
      <c r="BE73" s="4">
        <f t="shared" si="10"/>
        <v>134887792</v>
      </c>
      <c r="BF73" s="30">
        <f t="shared" si="11"/>
        <v>218167227</v>
      </c>
      <c r="BG73" s="18">
        <f t="shared" si="12"/>
        <v>0</v>
      </c>
      <c r="BH73" s="23"/>
      <c r="BI73" s="23"/>
      <c r="BJ73" s="14"/>
      <c r="BK73" s="14"/>
      <c r="BL73" s="14"/>
      <c r="BM73" s="14"/>
      <c r="BN73" s="14"/>
    </row>
    <row r="74" spans="1:66" ht="15" customHeight="1" x14ac:dyDescent="0.2">
      <c r="A74" s="1">
        <v>8923015411</v>
      </c>
      <c r="B74" s="1">
        <v>892301541</v>
      </c>
      <c r="C74" s="15">
        <v>213220032</v>
      </c>
      <c r="D74" s="16" t="s">
        <v>415</v>
      </c>
      <c r="E74" s="41" t="s">
        <v>1443</v>
      </c>
      <c r="F74" s="28"/>
      <c r="G74" s="2"/>
      <c r="H74" s="3"/>
      <c r="I74" s="2"/>
      <c r="J74" s="29"/>
      <c r="K74" s="3"/>
      <c r="L74" s="2"/>
      <c r="M74" s="8"/>
      <c r="N74" s="3"/>
      <c r="O74" s="2"/>
      <c r="P74" s="3"/>
      <c r="Q74" s="2"/>
      <c r="R74" s="3"/>
      <c r="S74" s="3"/>
      <c r="T74" s="2"/>
      <c r="U74" s="8">
        <f t="shared" si="7"/>
        <v>0</v>
      </c>
      <c r="V74" s="8"/>
      <c r="W74" s="8"/>
      <c r="X74" s="8"/>
      <c r="Y74" s="8"/>
      <c r="Z74" s="8"/>
      <c r="AA74" s="8"/>
      <c r="AB74" s="8"/>
      <c r="AC74" s="8">
        <f t="shared" si="8"/>
        <v>0</v>
      </c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>
        <v>250365985</v>
      </c>
      <c r="AZ74" s="8"/>
      <c r="BA74" s="8">
        <f>VLOOKUP(B74,[1]Hoja3!J$3:K$674,2,0)</f>
        <v>376753745</v>
      </c>
      <c r="BB74" s="8"/>
      <c r="BC74" s="8">
        <f t="shared" si="9"/>
        <v>627119730</v>
      </c>
      <c r="BD74" s="4">
        <v>250365985</v>
      </c>
      <c r="BE74" s="4">
        <f t="shared" si="10"/>
        <v>376753745</v>
      </c>
      <c r="BF74" s="30">
        <f t="shared" si="11"/>
        <v>627119730</v>
      </c>
      <c r="BG74" s="18">
        <f t="shared" si="12"/>
        <v>0</v>
      </c>
      <c r="BH74" s="23"/>
      <c r="BI74" s="23"/>
      <c r="BJ74" s="23"/>
    </row>
    <row r="75" spans="1:66" ht="15" customHeight="1" x14ac:dyDescent="0.2">
      <c r="A75" s="1">
        <v>8001000491</v>
      </c>
      <c r="B75" s="1">
        <v>800100049</v>
      </c>
      <c r="C75" s="15">
        <v>216773067</v>
      </c>
      <c r="D75" s="16" t="s">
        <v>2209</v>
      </c>
      <c r="E75" s="41" t="s">
        <v>1934</v>
      </c>
      <c r="F75" s="28"/>
      <c r="G75" s="2"/>
      <c r="H75" s="3"/>
      <c r="I75" s="2"/>
      <c r="J75" s="29"/>
      <c r="K75" s="3"/>
      <c r="L75" s="2"/>
      <c r="M75" s="8"/>
      <c r="N75" s="3"/>
      <c r="O75" s="2"/>
      <c r="P75" s="3"/>
      <c r="Q75" s="2"/>
      <c r="R75" s="3"/>
      <c r="S75" s="3"/>
      <c r="T75" s="2"/>
      <c r="U75" s="8">
        <f t="shared" si="7"/>
        <v>0</v>
      </c>
      <c r="V75" s="8"/>
      <c r="W75" s="8"/>
      <c r="X75" s="8"/>
      <c r="Y75" s="8"/>
      <c r="Z75" s="8"/>
      <c r="AA75" s="8"/>
      <c r="AB75" s="8"/>
      <c r="AC75" s="8">
        <f t="shared" si="8"/>
        <v>0</v>
      </c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>
        <v>240306955</v>
      </c>
      <c r="AZ75" s="8"/>
      <c r="BA75" s="8">
        <f>VLOOKUP(B75,[1]Hoja3!J$3:K$674,2,0)</f>
        <v>416740904</v>
      </c>
      <c r="BB75" s="8"/>
      <c r="BC75" s="8">
        <f t="shared" si="9"/>
        <v>657047859</v>
      </c>
      <c r="BD75" s="4">
        <v>240306955</v>
      </c>
      <c r="BE75" s="4">
        <f t="shared" si="10"/>
        <v>416740904</v>
      </c>
      <c r="BF75" s="30">
        <f t="shared" si="11"/>
        <v>657047859</v>
      </c>
      <c r="BG75" s="18">
        <f t="shared" si="12"/>
        <v>0</v>
      </c>
      <c r="BH75" s="23"/>
      <c r="BI75" s="23"/>
      <c r="BJ75" s="23"/>
    </row>
    <row r="76" spans="1:66" ht="15" customHeight="1" x14ac:dyDescent="0.2">
      <c r="A76" s="1">
        <v>8180003951</v>
      </c>
      <c r="B76" s="1">
        <v>818000395</v>
      </c>
      <c r="C76" s="15">
        <v>215027050</v>
      </c>
      <c r="D76" s="16" t="s">
        <v>570</v>
      </c>
      <c r="E76" s="41" t="s">
        <v>1589</v>
      </c>
      <c r="F76" s="28"/>
      <c r="G76" s="2"/>
      <c r="H76" s="3"/>
      <c r="I76" s="2"/>
      <c r="J76" s="29"/>
      <c r="K76" s="3"/>
      <c r="L76" s="2"/>
      <c r="M76" s="8"/>
      <c r="N76" s="3"/>
      <c r="O76" s="2"/>
      <c r="P76" s="3"/>
      <c r="Q76" s="2"/>
      <c r="R76" s="3"/>
      <c r="S76" s="3"/>
      <c r="T76" s="2"/>
      <c r="U76" s="8">
        <f t="shared" si="7"/>
        <v>0</v>
      </c>
      <c r="V76" s="8"/>
      <c r="W76" s="8"/>
      <c r="X76" s="8"/>
      <c r="Y76" s="8"/>
      <c r="Z76" s="8"/>
      <c r="AA76" s="8"/>
      <c r="AB76" s="8"/>
      <c r="AC76" s="8">
        <f t="shared" si="8"/>
        <v>0</v>
      </c>
      <c r="AD76" s="8"/>
      <c r="AE76" s="8"/>
      <c r="AF76" s="8"/>
      <c r="AG76" s="8"/>
      <c r="AH76" s="8"/>
      <c r="AI76" s="8"/>
      <c r="AJ76" s="8"/>
      <c r="AK76" s="8"/>
      <c r="AL76" s="8"/>
      <c r="AM76" s="8">
        <v>254982325</v>
      </c>
      <c r="AN76" s="8">
        <f>SUBTOTAL(9,AC76:AM76)</f>
        <v>254982325</v>
      </c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>
        <f t="shared" si="9"/>
        <v>254982325</v>
      </c>
      <c r="BD76" s="4"/>
      <c r="BE76" s="4">
        <f t="shared" si="10"/>
        <v>254982325</v>
      </c>
      <c r="BF76" s="30">
        <f t="shared" si="11"/>
        <v>254982325</v>
      </c>
      <c r="BG76" s="18">
        <f t="shared" si="12"/>
        <v>0</v>
      </c>
      <c r="BH76" s="23"/>
      <c r="BI76" s="23"/>
      <c r="BJ76" s="23"/>
    </row>
    <row r="77" spans="1:66" ht="15" customHeight="1" x14ac:dyDescent="0.2">
      <c r="A77" s="1">
        <v>8000967373</v>
      </c>
      <c r="B77" s="1">
        <v>800096737</v>
      </c>
      <c r="C77" s="15">
        <v>216823068</v>
      </c>
      <c r="D77" s="16" t="s">
        <v>437</v>
      </c>
      <c r="E77" s="41" t="s">
        <v>1464</v>
      </c>
      <c r="F77" s="28"/>
      <c r="G77" s="2"/>
      <c r="H77" s="3"/>
      <c r="I77" s="2"/>
      <c r="J77" s="29"/>
      <c r="K77" s="3"/>
      <c r="L77" s="2"/>
      <c r="M77" s="8"/>
      <c r="N77" s="3"/>
      <c r="O77" s="2"/>
      <c r="P77" s="3"/>
      <c r="Q77" s="2"/>
      <c r="R77" s="3"/>
      <c r="S77" s="3"/>
      <c r="T77" s="2"/>
      <c r="U77" s="8">
        <f t="shared" si="7"/>
        <v>0</v>
      </c>
      <c r="V77" s="8"/>
      <c r="W77" s="8"/>
      <c r="X77" s="8"/>
      <c r="Y77" s="8"/>
      <c r="Z77" s="8"/>
      <c r="AA77" s="8"/>
      <c r="AB77" s="8"/>
      <c r="AC77" s="8">
        <f t="shared" si="8"/>
        <v>0</v>
      </c>
      <c r="AD77" s="8"/>
      <c r="AE77" s="8"/>
      <c r="AF77" s="8"/>
      <c r="AG77" s="8"/>
      <c r="AH77" s="8"/>
      <c r="AI77" s="8"/>
      <c r="AJ77" s="8"/>
      <c r="AK77" s="8"/>
      <c r="AL77" s="8"/>
      <c r="AM77" s="8">
        <v>3771768915</v>
      </c>
      <c r="AN77" s="8">
        <f>SUBTOTAL(9,AC77:AM77)</f>
        <v>3771768915</v>
      </c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>
        <v>587340215</v>
      </c>
      <c r="AZ77" s="8"/>
      <c r="BA77" s="8"/>
      <c r="BB77" s="8"/>
      <c r="BC77" s="8">
        <f t="shared" si="9"/>
        <v>4359109130</v>
      </c>
      <c r="BD77" s="4">
        <v>587340215</v>
      </c>
      <c r="BE77" s="4">
        <f t="shared" si="10"/>
        <v>3771768915</v>
      </c>
      <c r="BF77" s="30">
        <f t="shared" si="11"/>
        <v>4359109130</v>
      </c>
      <c r="BG77" s="18">
        <f t="shared" si="12"/>
        <v>0</v>
      </c>
      <c r="BH77" s="23"/>
      <c r="BI77" s="23"/>
      <c r="BJ77" s="23"/>
    </row>
    <row r="78" spans="1:66" s="20" customFormat="1" ht="15" customHeight="1" x14ac:dyDescent="0.2">
      <c r="A78" s="1">
        <v>8916800554</v>
      </c>
      <c r="B78" s="1">
        <v>891680055</v>
      </c>
      <c r="C78" s="15">
        <v>217327073</v>
      </c>
      <c r="D78" s="16" t="s">
        <v>571</v>
      </c>
      <c r="E78" s="41" t="s">
        <v>1590</v>
      </c>
      <c r="F78" s="28"/>
      <c r="G78" s="2"/>
      <c r="H78" s="3"/>
      <c r="I78" s="2"/>
      <c r="J78" s="29"/>
      <c r="K78" s="3"/>
      <c r="L78" s="2"/>
      <c r="M78" s="8"/>
      <c r="N78" s="3"/>
      <c r="O78" s="2"/>
      <c r="P78" s="3"/>
      <c r="Q78" s="2"/>
      <c r="R78" s="3"/>
      <c r="S78" s="3"/>
      <c r="T78" s="2"/>
      <c r="U78" s="8">
        <f t="shared" si="7"/>
        <v>0</v>
      </c>
      <c r="V78" s="8"/>
      <c r="W78" s="8"/>
      <c r="X78" s="8"/>
      <c r="Y78" s="8"/>
      <c r="Z78" s="8"/>
      <c r="AA78" s="8"/>
      <c r="AB78" s="8"/>
      <c r="AC78" s="8">
        <f t="shared" si="8"/>
        <v>0</v>
      </c>
      <c r="AD78" s="8"/>
      <c r="AE78" s="8"/>
      <c r="AF78" s="8"/>
      <c r="AG78" s="8"/>
      <c r="AH78" s="8"/>
      <c r="AI78" s="8"/>
      <c r="AJ78" s="8"/>
      <c r="AK78" s="8"/>
      <c r="AL78" s="8"/>
      <c r="AM78" s="8">
        <v>84494159</v>
      </c>
      <c r="AN78" s="8">
        <f>SUBTOTAL(9,AC78:AM78)</f>
        <v>84494159</v>
      </c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>
        <v>201306145</v>
      </c>
      <c r="AZ78" s="8"/>
      <c r="BA78" s="8"/>
      <c r="BB78" s="8"/>
      <c r="BC78" s="8">
        <f t="shared" si="9"/>
        <v>285800304</v>
      </c>
      <c r="BD78" s="4">
        <v>201306145</v>
      </c>
      <c r="BE78" s="4">
        <f t="shared" si="10"/>
        <v>84494159</v>
      </c>
      <c r="BF78" s="30">
        <f t="shared" si="11"/>
        <v>285800304</v>
      </c>
      <c r="BG78" s="18">
        <f t="shared" si="12"/>
        <v>0</v>
      </c>
      <c r="BH78" s="23"/>
      <c r="BI78" s="23"/>
      <c r="BJ78" s="23"/>
      <c r="BK78" s="12"/>
      <c r="BL78" s="12"/>
      <c r="BM78" s="12"/>
      <c r="BN78" s="12"/>
    </row>
    <row r="79" spans="1:66" ht="15" customHeight="1" x14ac:dyDescent="0.2">
      <c r="A79" s="1">
        <v>8916803953</v>
      </c>
      <c r="B79" s="1">
        <v>891680395</v>
      </c>
      <c r="C79" s="15">
        <v>217527075</v>
      </c>
      <c r="D79" s="16" t="s">
        <v>572</v>
      </c>
      <c r="E79" s="41" t="s">
        <v>1591</v>
      </c>
      <c r="F79" s="28"/>
      <c r="G79" s="2"/>
      <c r="H79" s="3"/>
      <c r="I79" s="2"/>
      <c r="J79" s="29"/>
      <c r="K79" s="3"/>
      <c r="L79" s="2"/>
      <c r="M79" s="8"/>
      <c r="N79" s="3"/>
      <c r="O79" s="2"/>
      <c r="P79" s="3"/>
      <c r="Q79" s="2"/>
      <c r="R79" s="3"/>
      <c r="S79" s="3"/>
      <c r="T79" s="2"/>
      <c r="U79" s="8">
        <f t="shared" si="7"/>
        <v>0</v>
      </c>
      <c r="V79" s="8"/>
      <c r="W79" s="8"/>
      <c r="X79" s="8"/>
      <c r="Y79" s="8"/>
      <c r="Z79" s="8"/>
      <c r="AA79" s="8"/>
      <c r="AB79" s="8"/>
      <c r="AC79" s="8">
        <f t="shared" si="8"/>
        <v>0</v>
      </c>
      <c r="AD79" s="8"/>
      <c r="AE79" s="8"/>
      <c r="AF79" s="8"/>
      <c r="AG79" s="8"/>
      <c r="AH79" s="8"/>
      <c r="AI79" s="8"/>
      <c r="AJ79" s="8"/>
      <c r="AK79" s="8"/>
      <c r="AL79" s="8"/>
      <c r="AM79" s="8">
        <v>214161652</v>
      </c>
      <c r="AN79" s="8">
        <f>SUBTOTAL(9,AC79:AM79)</f>
        <v>214161652</v>
      </c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>
        <f t="shared" si="9"/>
        <v>214161652</v>
      </c>
      <c r="BD79" s="4"/>
      <c r="BE79" s="4">
        <f t="shared" si="10"/>
        <v>214161652</v>
      </c>
      <c r="BF79" s="30">
        <f t="shared" si="11"/>
        <v>214161652</v>
      </c>
      <c r="BG79" s="18">
        <f t="shared" si="12"/>
        <v>0</v>
      </c>
      <c r="BH79" s="23"/>
      <c r="BI79" s="23"/>
      <c r="BJ79" s="23"/>
    </row>
    <row r="80" spans="1:66" ht="15" customHeight="1" x14ac:dyDescent="0.2">
      <c r="A80" s="1">
        <v>8000955895</v>
      </c>
      <c r="B80" s="1">
        <v>800095589</v>
      </c>
      <c r="C80" s="15">
        <v>217727077</v>
      </c>
      <c r="D80" s="16" t="s">
        <v>2118</v>
      </c>
      <c r="E80" s="41" t="s">
        <v>1592</v>
      </c>
      <c r="F80" s="28"/>
      <c r="G80" s="2"/>
      <c r="H80" s="3"/>
      <c r="I80" s="2"/>
      <c r="J80" s="29"/>
      <c r="K80" s="3"/>
      <c r="L80" s="2"/>
      <c r="M80" s="8"/>
      <c r="N80" s="3"/>
      <c r="O80" s="2"/>
      <c r="P80" s="3"/>
      <c r="Q80" s="2"/>
      <c r="R80" s="3"/>
      <c r="S80" s="3"/>
      <c r="T80" s="2"/>
      <c r="U80" s="8">
        <f t="shared" si="7"/>
        <v>0</v>
      </c>
      <c r="V80" s="8"/>
      <c r="W80" s="8"/>
      <c r="X80" s="8"/>
      <c r="Y80" s="8"/>
      <c r="Z80" s="8"/>
      <c r="AA80" s="8"/>
      <c r="AB80" s="8"/>
      <c r="AC80" s="8">
        <f t="shared" si="8"/>
        <v>0</v>
      </c>
      <c r="AD80" s="8"/>
      <c r="AE80" s="8"/>
      <c r="AF80" s="8"/>
      <c r="AG80" s="8"/>
      <c r="AH80" s="8"/>
      <c r="AI80" s="8"/>
      <c r="AJ80" s="8"/>
      <c r="AK80" s="8"/>
      <c r="AL80" s="8"/>
      <c r="AM80" s="8">
        <v>239499731</v>
      </c>
      <c r="AN80" s="8">
        <f>SUBTOTAL(9,AC80:AM80)</f>
        <v>239499731</v>
      </c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>
        <v>259069615</v>
      </c>
      <c r="AZ80" s="8"/>
      <c r="BA80" s="8"/>
      <c r="BB80" s="8"/>
      <c r="BC80" s="8">
        <f t="shared" si="9"/>
        <v>498569346</v>
      </c>
      <c r="BD80" s="4">
        <v>259069615</v>
      </c>
      <c r="BE80" s="4">
        <f t="shared" si="10"/>
        <v>239499731</v>
      </c>
      <c r="BF80" s="30">
        <f t="shared" si="11"/>
        <v>498569346</v>
      </c>
      <c r="BG80" s="18">
        <f t="shared" si="12"/>
        <v>0</v>
      </c>
      <c r="BH80" s="23"/>
      <c r="BI80" s="23"/>
      <c r="BJ80" s="23"/>
    </row>
    <row r="81" spans="1:66" ht="15" customHeight="1" x14ac:dyDescent="0.2">
      <c r="A81" s="1">
        <v>8915008691</v>
      </c>
      <c r="B81" s="1">
        <v>891500869</v>
      </c>
      <c r="C81" s="15">
        <v>217519075</v>
      </c>
      <c r="D81" s="16" t="s">
        <v>375</v>
      </c>
      <c r="E81" s="41" t="s">
        <v>1407</v>
      </c>
      <c r="F81" s="28"/>
      <c r="G81" s="2"/>
      <c r="H81" s="3"/>
      <c r="I81" s="2"/>
      <c r="J81" s="29"/>
      <c r="K81" s="3"/>
      <c r="L81" s="2"/>
      <c r="M81" s="8"/>
      <c r="N81" s="3"/>
      <c r="O81" s="2"/>
      <c r="P81" s="3"/>
      <c r="Q81" s="2"/>
      <c r="R81" s="3"/>
      <c r="S81" s="3"/>
      <c r="T81" s="2"/>
      <c r="U81" s="8">
        <f t="shared" si="7"/>
        <v>0</v>
      </c>
      <c r="V81" s="8"/>
      <c r="W81" s="8"/>
      <c r="X81" s="8"/>
      <c r="Y81" s="8"/>
      <c r="Z81" s="8"/>
      <c r="AA81" s="8"/>
      <c r="AB81" s="8"/>
      <c r="AC81" s="8">
        <f t="shared" si="8"/>
        <v>0</v>
      </c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>
        <v>191585190</v>
      </c>
      <c r="AZ81" s="8"/>
      <c r="BA81" s="8">
        <f>VLOOKUP(B81,[1]Hoja3!J$3:K$674,2,0)</f>
        <v>247802695</v>
      </c>
      <c r="BB81" s="8"/>
      <c r="BC81" s="8">
        <f t="shared" si="9"/>
        <v>439387885</v>
      </c>
      <c r="BD81" s="4">
        <v>191585190</v>
      </c>
      <c r="BE81" s="4">
        <f t="shared" si="10"/>
        <v>247802695</v>
      </c>
      <c r="BF81" s="30">
        <f t="shared" si="11"/>
        <v>439387885</v>
      </c>
      <c r="BG81" s="18">
        <f t="shared" si="12"/>
        <v>0</v>
      </c>
      <c r="BH81" s="23"/>
      <c r="BI81" s="23"/>
      <c r="BJ81" s="23"/>
    </row>
    <row r="82" spans="1:66" ht="15" customHeight="1" x14ac:dyDescent="0.2">
      <c r="A82" s="1">
        <v>8908011431</v>
      </c>
      <c r="B82" s="1">
        <v>890801143</v>
      </c>
      <c r="C82" s="15">
        <v>217566075</v>
      </c>
      <c r="D82" s="16" t="s">
        <v>801</v>
      </c>
      <c r="E82" s="41" t="s">
        <v>1819</v>
      </c>
      <c r="F82" s="28"/>
      <c r="G82" s="2"/>
      <c r="H82" s="3"/>
      <c r="I82" s="2"/>
      <c r="J82" s="29"/>
      <c r="K82" s="3"/>
      <c r="L82" s="2"/>
      <c r="M82" s="8"/>
      <c r="N82" s="3"/>
      <c r="O82" s="2"/>
      <c r="P82" s="3"/>
      <c r="Q82" s="2"/>
      <c r="R82" s="3"/>
      <c r="S82" s="3"/>
      <c r="T82" s="2"/>
      <c r="U82" s="8">
        <f t="shared" si="7"/>
        <v>0</v>
      </c>
      <c r="V82" s="8"/>
      <c r="W82" s="8"/>
      <c r="X82" s="8"/>
      <c r="Y82" s="8"/>
      <c r="Z82" s="8"/>
      <c r="AA82" s="8"/>
      <c r="AB82" s="8"/>
      <c r="AC82" s="8">
        <f t="shared" si="8"/>
        <v>0</v>
      </c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>
        <f>VLOOKUP(B82,[1]Hoja3!J$3:K$674,2,0)</f>
        <v>87455560</v>
      </c>
      <c r="BB82" s="8"/>
      <c r="BC82" s="8">
        <f t="shared" si="9"/>
        <v>87455560</v>
      </c>
      <c r="BD82" s="4"/>
      <c r="BE82" s="4">
        <f t="shared" si="10"/>
        <v>87455560</v>
      </c>
      <c r="BF82" s="30">
        <f t="shared" si="11"/>
        <v>87455560</v>
      </c>
      <c r="BG82" s="18">
        <f t="shared" si="12"/>
        <v>0</v>
      </c>
      <c r="BH82" s="23"/>
      <c r="BI82" s="23"/>
      <c r="BJ82" s="23"/>
    </row>
    <row r="83" spans="1:66" ht="15" customHeight="1" x14ac:dyDescent="0.2">
      <c r="A83" s="1">
        <v>8901123718</v>
      </c>
      <c r="B83" s="1">
        <v>890112371</v>
      </c>
      <c r="C83" s="15">
        <v>217808078</v>
      </c>
      <c r="D83" s="16" t="s">
        <v>161</v>
      </c>
      <c r="E83" s="41" t="s">
        <v>1189</v>
      </c>
      <c r="F83" s="28"/>
      <c r="G83" s="2"/>
      <c r="H83" s="3"/>
      <c r="I83" s="2"/>
      <c r="J83" s="29"/>
      <c r="K83" s="3"/>
      <c r="L83" s="2"/>
      <c r="M83" s="8"/>
      <c r="N83" s="3"/>
      <c r="O83" s="2"/>
      <c r="P83" s="3"/>
      <c r="Q83" s="2"/>
      <c r="R83" s="3"/>
      <c r="S83" s="3"/>
      <c r="T83" s="2"/>
      <c r="U83" s="8">
        <f t="shared" si="7"/>
        <v>0</v>
      </c>
      <c r="V83" s="8"/>
      <c r="W83" s="8"/>
      <c r="X83" s="8"/>
      <c r="Y83" s="8"/>
      <c r="Z83" s="8"/>
      <c r="AA83" s="8"/>
      <c r="AB83" s="8"/>
      <c r="AC83" s="8">
        <f t="shared" si="8"/>
        <v>0</v>
      </c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>
        <v>362963655</v>
      </c>
      <c r="AZ83" s="8"/>
      <c r="BA83" s="8">
        <f>VLOOKUP(B83,[1]Hoja3!J$3:K$674,2,0)</f>
        <v>847224261</v>
      </c>
      <c r="BB83" s="8"/>
      <c r="BC83" s="8">
        <f t="shared" si="9"/>
        <v>1210187916</v>
      </c>
      <c r="BD83" s="4">
        <v>362963655</v>
      </c>
      <c r="BE83" s="4">
        <f t="shared" si="10"/>
        <v>847224261</v>
      </c>
      <c r="BF83" s="30">
        <f t="shared" si="11"/>
        <v>1210187916</v>
      </c>
      <c r="BG83" s="18">
        <f t="shared" si="12"/>
        <v>0</v>
      </c>
      <c r="BH83" s="23"/>
      <c r="BI83" s="23"/>
      <c r="BJ83" s="23"/>
    </row>
    <row r="84" spans="1:66" ht="15" customHeight="1" x14ac:dyDescent="0.2">
      <c r="A84" s="1">
        <v>8911801833</v>
      </c>
      <c r="B84" s="1">
        <v>891180183</v>
      </c>
      <c r="C84" s="15">
        <v>217841078</v>
      </c>
      <c r="D84" s="16" t="s">
        <v>598</v>
      </c>
      <c r="E84" s="41" t="s">
        <v>2083</v>
      </c>
      <c r="F84" s="28"/>
      <c r="G84" s="2"/>
      <c r="H84" s="3"/>
      <c r="I84" s="2"/>
      <c r="J84" s="29"/>
      <c r="K84" s="3"/>
      <c r="L84" s="2"/>
      <c r="M84" s="8"/>
      <c r="N84" s="3"/>
      <c r="O84" s="2"/>
      <c r="P84" s="3"/>
      <c r="Q84" s="2"/>
      <c r="R84" s="3"/>
      <c r="S84" s="3"/>
      <c r="T84" s="2"/>
      <c r="U84" s="8">
        <f t="shared" si="7"/>
        <v>0</v>
      </c>
      <c r="V84" s="8"/>
      <c r="W84" s="8"/>
      <c r="X84" s="8"/>
      <c r="Y84" s="8"/>
      <c r="Z84" s="8"/>
      <c r="AA84" s="8"/>
      <c r="AB84" s="8"/>
      <c r="AC84" s="8">
        <f t="shared" si="8"/>
        <v>0</v>
      </c>
      <c r="AD84" s="8"/>
      <c r="AE84" s="8"/>
      <c r="AF84" s="8"/>
      <c r="AG84" s="8"/>
      <c r="AH84" s="8"/>
      <c r="AI84" s="8"/>
      <c r="AJ84" s="8"/>
      <c r="AK84" s="8"/>
      <c r="AL84" s="8"/>
      <c r="AM84" s="8">
        <v>18601999</v>
      </c>
      <c r="AN84" s="8">
        <f>SUBTOTAL(9,AC84:AM84)</f>
        <v>18601999</v>
      </c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>
        <f>VLOOKUP(B84,[1]Hoja3!J$3:K$674,2,0)</f>
        <v>82598451</v>
      </c>
      <c r="BB84" s="8"/>
      <c r="BC84" s="8">
        <f t="shared" si="9"/>
        <v>101200450</v>
      </c>
      <c r="BD84" s="4"/>
      <c r="BE84" s="4">
        <f t="shared" si="10"/>
        <v>101200450</v>
      </c>
      <c r="BF84" s="30">
        <f t="shared" si="11"/>
        <v>101200450</v>
      </c>
      <c r="BG84" s="18">
        <f t="shared" si="12"/>
        <v>0</v>
      </c>
      <c r="BH84" s="23"/>
      <c r="BI84" s="23"/>
      <c r="BJ84" s="23"/>
    </row>
    <row r="85" spans="1:66" ht="15" customHeight="1" x14ac:dyDescent="0.2">
      <c r="A85" s="1">
        <v>8000990617</v>
      </c>
      <c r="B85" s="1">
        <v>800099061</v>
      </c>
      <c r="C85" s="15">
        <v>217952079</v>
      </c>
      <c r="D85" s="16" t="s">
        <v>696</v>
      </c>
      <c r="E85" s="41" t="s">
        <v>1719</v>
      </c>
      <c r="F85" s="28"/>
      <c r="G85" s="2"/>
      <c r="H85" s="3"/>
      <c r="I85" s="2"/>
      <c r="J85" s="29"/>
      <c r="K85" s="3"/>
      <c r="L85" s="2"/>
      <c r="M85" s="8"/>
      <c r="N85" s="3"/>
      <c r="O85" s="2"/>
      <c r="P85" s="3"/>
      <c r="Q85" s="2"/>
      <c r="R85" s="3"/>
      <c r="S85" s="3"/>
      <c r="T85" s="2"/>
      <c r="U85" s="8">
        <f t="shared" si="7"/>
        <v>0</v>
      </c>
      <c r="V85" s="8"/>
      <c r="W85" s="8"/>
      <c r="X85" s="8"/>
      <c r="Y85" s="8"/>
      <c r="Z85" s="8"/>
      <c r="AA85" s="8"/>
      <c r="AB85" s="8"/>
      <c r="AC85" s="8">
        <f t="shared" si="8"/>
        <v>0</v>
      </c>
      <c r="AD85" s="8"/>
      <c r="AE85" s="8"/>
      <c r="AF85" s="8"/>
      <c r="AG85" s="8"/>
      <c r="AH85" s="8"/>
      <c r="AI85" s="8"/>
      <c r="AJ85" s="8"/>
      <c r="AK85" s="8"/>
      <c r="AL85" s="8"/>
      <c r="AM85" s="8">
        <v>66278543</v>
      </c>
      <c r="AN85" s="8">
        <f>SUBTOTAL(9,AC85:AM85)</f>
        <v>66278543</v>
      </c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>
        <v>638957465</v>
      </c>
      <c r="AZ85" s="8"/>
      <c r="BA85" s="8">
        <f>VLOOKUP(B85,[1]Hoja3!J$3:K$674,2,0)</f>
        <v>646037510</v>
      </c>
      <c r="BB85" s="8"/>
      <c r="BC85" s="8">
        <f t="shared" si="9"/>
        <v>1351273518</v>
      </c>
      <c r="BD85" s="4">
        <v>638957465</v>
      </c>
      <c r="BE85" s="4">
        <f t="shared" si="10"/>
        <v>712316053</v>
      </c>
      <c r="BF85" s="30">
        <f t="shared" si="11"/>
        <v>1351273518</v>
      </c>
      <c r="BG85" s="18">
        <f t="shared" si="12"/>
        <v>0</v>
      </c>
      <c r="BH85" s="23"/>
      <c r="BI85" s="23"/>
      <c r="BJ85" s="23"/>
    </row>
    <row r="86" spans="1:66" ht="15" customHeight="1" x14ac:dyDescent="0.2">
      <c r="A86" s="1">
        <v>8909804457</v>
      </c>
      <c r="B86" s="1">
        <v>890980445</v>
      </c>
      <c r="C86" s="15">
        <v>217905079</v>
      </c>
      <c r="D86" s="16" t="s">
        <v>58</v>
      </c>
      <c r="E86" s="41" t="s">
        <v>1089</v>
      </c>
      <c r="F86" s="28"/>
      <c r="G86" s="2"/>
      <c r="H86" s="3"/>
      <c r="I86" s="2"/>
      <c r="J86" s="29"/>
      <c r="K86" s="3"/>
      <c r="L86" s="2"/>
      <c r="M86" s="8"/>
      <c r="N86" s="3"/>
      <c r="O86" s="2"/>
      <c r="P86" s="3"/>
      <c r="Q86" s="2"/>
      <c r="R86" s="3"/>
      <c r="S86" s="3"/>
      <c r="T86" s="2"/>
      <c r="U86" s="8">
        <f t="shared" si="7"/>
        <v>0</v>
      </c>
      <c r="V86" s="8"/>
      <c r="W86" s="8"/>
      <c r="X86" s="8"/>
      <c r="Y86" s="8"/>
      <c r="Z86" s="8"/>
      <c r="AA86" s="8"/>
      <c r="AB86" s="8"/>
      <c r="AC86" s="8">
        <f t="shared" si="8"/>
        <v>0</v>
      </c>
      <c r="AD86" s="8"/>
      <c r="AE86" s="8"/>
      <c r="AF86" s="8"/>
      <c r="AG86" s="8"/>
      <c r="AH86" s="8"/>
      <c r="AI86" s="8"/>
      <c r="AJ86" s="8"/>
      <c r="AK86" s="8"/>
      <c r="AL86" s="8"/>
      <c r="AM86" s="8">
        <v>539182792</v>
      </c>
      <c r="AN86" s="8">
        <f>SUBTOTAL(9,AC86:AM86)</f>
        <v>539182792</v>
      </c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>
        <v>238851220</v>
      </c>
      <c r="AZ86" s="8"/>
      <c r="BA86" s="8"/>
      <c r="BB86" s="8"/>
      <c r="BC86" s="8">
        <f t="shared" si="9"/>
        <v>778034012</v>
      </c>
      <c r="BD86" s="4">
        <v>238851220</v>
      </c>
      <c r="BE86" s="4">
        <f t="shared" si="10"/>
        <v>539182792</v>
      </c>
      <c r="BF86" s="30">
        <f t="shared" si="11"/>
        <v>778034012</v>
      </c>
      <c r="BG86" s="18">
        <f t="shared" si="12"/>
        <v>0</v>
      </c>
      <c r="BH86" s="23"/>
      <c r="BI86" s="23"/>
      <c r="BJ86" s="23"/>
    </row>
    <row r="87" spans="1:66" ht="15" customHeight="1" x14ac:dyDescent="0.2">
      <c r="A87" s="1">
        <v>8902060338</v>
      </c>
      <c r="B87" s="1">
        <v>890206033</v>
      </c>
      <c r="C87" s="15">
        <v>217768077</v>
      </c>
      <c r="D87" s="16" t="s">
        <v>815</v>
      </c>
      <c r="E87" s="41" t="s">
        <v>1833</v>
      </c>
      <c r="F87" s="28"/>
      <c r="G87" s="17"/>
      <c r="H87" s="3"/>
      <c r="I87" s="2"/>
      <c r="J87" s="29"/>
      <c r="K87" s="3"/>
      <c r="L87" s="17"/>
      <c r="M87" s="34"/>
      <c r="N87" s="3"/>
      <c r="O87" s="17"/>
      <c r="P87" s="3"/>
      <c r="Q87" s="2"/>
      <c r="R87" s="3"/>
      <c r="S87" s="3"/>
      <c r="T87" s="17"/>
      <c r="U87" s="8">
        <f t="shared" si="7"/>
        <v>0</v>
      </c>
      <c r="V87" s="8"/>
      <c r="W87" s="8"/>
      <c r="X87" s="8"/>
      <c r="Y87" s="8"/>
      <c r="Z87" s="8"/>
      <c r="AA87" s="8"/>
      <c r="AB87" s="8"/>
      <c r="AC87" s="8">
        <f t="shared" si="8"/>
        <v>0</v>
      </c>
      <c r="AD87" s="8"/>
      <c r="AE87" s="8"/>
      <c r="AF87" s="8"/>
      <c r="AG87" s="8"/>
      <c r="AH87" s="8"/>
      <c r="AI87" s="8"/>
      <c r="AJ87" s="8"/>
      <c r="AK87" s="8"/>
      <c r="AL87" s="8"/>
      <c r="AM87" s="8">
        <v>313192763</v>
      </c>
      <c r="AN87" s="8">
        <f>SUBTOTAL(9,AC87:AM87)</f>
        <v>313192763</v>
      </c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>
        <v>137937655</v>
      </c>
      <c r="AZ87" s="8"/>
      <c r="BA87" s="8"/>
      <c r="BB87" s="8"/>
      <c r="BC87" s="8">
        <f t="shared" si="9"/>
        <v>451130418</v>
      </c>
      <c r="BD87" s="4">
        <v>137937655</v>
      </c>
      <c r="BE87" s="4">
        <f t="shared" si="10"/>
        <v>313192763</v>
      </c>
      <c r="BF87" s="30">
        <f t="shared" si="11"/>
        <v>451130418</v>
      </c>
      <c r="BG87" s="18">
        <f t="shared" si="12"/>
        <v>0</v>
      </c>
      <c r="BH87" s="23"/>
      <c r="BI87" s="23"/>
      <c r="BJ87" s="14"/>
      <c r="BK87" s="14"/>
      <c r="BL87" s="14"/>
      <c r="BM87" s="14"/>
      <c r="BN87" s="14"/>
    </row>
    <row r="88" spans="1:66" ht="15" customHeight="1" x14ac:dyDescent="0.2">
      <c r="A88" s="1">
        <v>8902109321</v>
      </c>
      <c r="B88" s="1">
        <v>890210932</v>
      </c>
      <c r="C88" s="15">
        <v>217968079</v>
      </c>
      <c r="D88" s="16" t="s">
        <v>816</v>
      </c>
      <c r="E88" s="41" t="s">
        <v>1834</v>
      </c>
      <c r="F88" s="28"/>
      <c r="G88" s="2"/>
      <c r="H88" s="3"/>
      <c r="I88" s="2"/>
      <c r="J88" s="29"/>
      <c r="K88" s="3"/>
      <c r="L88" s="2"/>
      <c r="M88" s="8"/>
      <c r="N88" s="3"/>
      <c r="O88" s="2"/>
      <c r="P88" s="3"/>
      <c r="Q88" s="2"/>
      <c r="R88" s="3"/>
      <c r="S88" s="3"/>
      <c r="T88" s="2"/>
      <c r="U88" s="8">
        <f t="shared" si="7"/>
        <v>0</v>
      </c>
      <c r="V88" s="8"/>
      <c r="W88" s="8"/>
      <c r="X88" s="8"/>
      <c r="Y88" s="8"/>
      <c r="Z88" s="8"/>
      <c r="AA88" s="8"/>
      <c r="AB88" s="8"/>
      <c r="AC88" s="8">
        <f t="shared" si="8"/>
        <v>0</v>
      </c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>
        <v>42828160</v>
      </c>
      <c r="AZ88" s="8"/>
      <c r="BA88" s="8">
        <f>VLOOKUP(B88,[1]Hoja3!J$3:K$674,2,0)</f>
        <v>105376446</v>
      </c>
      <c r="BB88" s="8"/>
      <c r="BC88" s="8">
        <f t="shared" si="9"/>
        <v>148204606</v>
      </c>
      <c r="BD88" s="4">
        <v>42828160</v>
      </c>
      <c r="BE88" s="4">
        <f t="shared" si="10"/>
        <v>105376446</v>
      </c>
      <c r="BF88" s="30">
        <f t="shared" si="11"/>
        <v>148204606</v>
      </c>
      <c r="BG88" s="18">
        <f t="shared" si="12"/>
        <v>0</v>
      </c>
      <c r="BH88" s="23"/>
      <c r="BI88" s="23"/>
      <c r="BJ88" s="23"/>
    </row>
    <row r="89" spans="1:66" ht="15" customHeight="1" x14ac:dyDescent="0.2">
      <c r="A89" s="1">
        <v>8001525771</v>
      </c>
      <c r="B89" s="1">
        <v>800152577</v>
      </c>
      <c r="C89" s="15">
        <v>211050110</v>
      </c>
      <c r="D89" s="16" t="s">
        <v>667</v>
      </c>
      <c r="E89" s="41" t="s">
        <v>1688</v>
      </c>
      <c r="F89" s="28"/>
      <c r="G89" s="2"/>
      <c r="H89" s="3"/>
      <c r="I89" s="2"/>
      <c r="J89" s="29"/>
      <c r="K89" s="3"/>
      <c r="L89" s="2"/>
      <c r="M89" s="8"/>
      <c r="N89" s="3"/>
      <c r="O89" s="2"/>
      <c r="P89" s="3"/>
      <c r="Q89" s="2"/>
      <c r="R89" s="3"/>
      <c r="S89" s="3"/>
      <c r="T89" s="2"/>
      <c r="U89" s="8">
        <f t="shared" si="7"/>
        <v>0</v>
      </c>
      <c r="V89" s="8"/>
      <c r="W89" s="8"/>
      <c r="X89" s="8"/>
      <c r="Y89" s="8"/>
      <c r="Z89" s="8"/>
      <c r="AA89" s="8"/>
      <c r="AB89" s="8"/>
      <c r="AC89" s="8">
        <f t="shared" si="8"/>
        <v>0</v>
      </c>
      <c r="AD89" s="8"/>
      <c r="AE89" s="8"/>
      <c r="AF89" s="8"/>
      <c r="AG89" s="8"/>
      <c r="AH89" s="8"/>
      <c r="AI89" s="8"/>
      <c r="AJ89" s="8"/>
      <c r="AK89" s="8"/>
      <c r="AL89" s="8"/>
      <c r="AM89" s="8">
        <v>133112363</v>
      </c>
      <c r="AN89" s="8">
        <f>SUBTOTAL(9,AC89:AM89)</f>
        <v>133112363</v>
      </c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>
        <v>57174740</v>
      </c>
      <c r="AZ89" s="8"/>
      <c r="BA89" s="8"/>
      <c r="BB89" s="8"/>
      <c r="BC89" s="8">
        <f t="shared" si="9"/>
        <v>190287103</v>
      </c>
      <c r="BD89" s="4">
        <v>57174740</v>
      </c>
      <c r="BE89" s="4">
        <f t="shared" si="10"/>
        <v>133112363</v>
      </c>
      <c r="BF89" s="30">
        <f t="shared" si="11"/>
        <v>190287103</v>
      </c>
      <c r="BG89" s="18">
        <f t="shared" si="12"/>
        <v>0</v>
      </c>
      <c r="BH89" s="23"/>
      <c r="BI89" s="23"/>
      <c r="BJ89" s="23"/>
    </row>
    <row r="90" spans="1:66" ht="15" customHeight="1" x14ac:dyDescent="0.2">
      <c r="A90" s="1">
        <v>8902019006</v>
      </c>
      <c r="B90" s="1">
        <v>890201900</v>
      </c>
      <c r="C90" s="15">
        <v>218168081</v>
      </c>
      <c r="D90" s="16" t="s">
        <v>2144</v>
      </c>
      <c r="E90" s="52" t="s">
        <v>2253</v>
      </c>
      <c r="F90" s="28"/>
      <c r="G90" s="2"/>
      <c r="H90" s="3"/>
      <c r="I90" s="2">
        <f>5411598015+109779614</f>
        <v>5521377629</v>
      </c>
      <c r="J90" s="29">
        <v>358344767</v>
      </c>
      <c r="K90" s="3">
        <v>711926887</v>
      </c>
      <c r="L90" s="2"/>
      <c r="M90" s="37">
        <f>SUM(F90:L90)</f>
        <v>6591649283</v>
      </c>
      <c r="N90" s="3"/>
      <c r="O90" s="2"/>
      <c r="P90" s="3"/>
      <c r="Q90" s="2">
        <f>5143532295+49899825</f>
        <v>5193432120</v>
      </c>
      <c r="R90" s="3">
        <v>358698155</v>
      </c>
      <c r="S90" s="3">
        <f>353582120+358698155</f>
        <v>712280275</v>
      </c>
      <c r="T90" s="2"/>
      <c r="U90" s="8">
        <f t="shared" si="7"/>
        <v>12856059833</v>
      </c>
      <c r="V90" s="8"/>
      <c r="W90" s="8"/>
      <c r="X90" s="8"/>
      <c r="Y90" s="8">
        <v>7523609028</v>
      </c>
      <c r="Z90" s="8">
        <v>356394785</v>
      </c>
      <c r="AA90" s="8">
        <v>828070991</v>
      </c>
      <c r="AB90" s="8"/>
      <c r="AC90" s="8">
        <f t="shared" si="8"/>
        <v>21564134637</v>
      </c>
      <c r="AD90" s="8"/>
      <c r="AE90" s="8"/>
      <c r="AF90" s="8"/>
      <c r="AG90" s="8"/>
      <c r="AH90" s="8">
        <v>5188509549</v>
      </c>
      <c r="AI90" s="8">
        <v>595146905</v>
      </c>
      <c r="AJ90" s="8">
        <v>364787902</v>
      </c>
      <c r="AK90" s="8">
        <v>920562716</v>
      </c>
      <c r="AL90" s="8"/>
      <c r="AM90" s="8">
        <v>2711426618</v>
      </c>
      <c r="AN90" s="8">
        <f>SUBTOTAL(9,AC90:AM90)</f>
        <v>31344568327</v>
      </c>
      <c r="AO90" s="8"/>
      <c r="AP90" s="8"/>
      <c r="AQ90" s="8">
        <v>1049182535</v>
      </c>
      <c r="AR90" s="8"/>
      <c r="AS90" s="8"/>
      <c r="AT90" s="8">
        <v>5188509549</v>
      </c>
      <c r="AU90" s="8"/>
      <c r="AV90" s="8">
        <v>364787902</v>
      </c>
      <c r="AW90" s="8">
        <v>623651210</v>
      </c>
      <c r="AX90" s="8"/>
      <c r="AY90" s="8"/>
      <c r="AZ90" s="8">
        <v>1695630567</v>
      </c>
      <c r="BA90" s="8"/>
      <c r="BB90" s="8"/>
      <c r="BC90" s="8">
        <f t="shared" si="9"/>
        <v>40266330090</v>
      </c>
      <c r="BD90" s="4">
        <v>37554903472</v>
      </c>
      <c r="BE90" s="4">
        <f t="shared" si="10"/>
        <v>2711426618</v>
      </c>
      <c r="BF90" s="30">
        <f t="shared" si="11"/>
        <v>40266330090</v>
      </c>
      <c r="BG90" s="18">
        <f t="shared" si="12"/>
        <v>0</v>
      </c>
      <c r="BH90" s="23"/>
      <c r="BI90" s="23"/>
      <c r="BJ90" s="23"/>
    </row>
    <row r="91" spans="1:66" ht="15" customHeight="1" x14ac:dyDescent="0.2">
      <c r="A91" s="1">
        <v>8000992233</v>
      </c>
      <c r="B91" s="1">
        <v>800099223</v>
      </c>
      <c r="C91" s="15">
        <v>217844078</v>
      </c>
      <c r="D91" s="16" t="s">
        <v>631</v>
      </c>
      <c r="E91" s="41" t="s">
        <v>1650</v>
      </c>
      <c r="F91" s="28"/>
      <c r="G91" s="2"/>
      <c r="H91" s="3"/>
      <c r="I91" s="2"/>
      <c r="J91" s="29"/>
      <c r="K91" s="3"/>
      <c r="L91" s="2"/>
      <c r="M91" s="8"/>
      <c r="N91" s="3"/>
      <c r="O91" s="2"/>
      <c r="P91" s="3"/>
      <c r="Q91" s="2"/>
      <c r="R91" s="3"/>
      <c r="S91" s="3"/>
      <c r="T91" s="2"/>
      <c r="U91" s="8">
        <f t="shared" si="7"/>
        <v>0</v>
      </c>
      <c r="V91" s="8"/>
      <c r="W91" s="8"/>
      <c r="X91" s="8"/>
      <c r="Y91" s="8"/>
      <c r="Z91" s="8"/>
      <c r="AA91" s="8"/>
      <c r="AB91" s="8"/>
      <c r="AC91" s="8">
        <f t="shared" si="8"/>
        <v>0</v>
      </c>
      <c r="AD91" s="8"/>
      <c r="AE91" s="8"/>
      <c r="AF91" s="8"/>
      <c r="AG91" s="8"/>
      <c r="AH91" s="8"/>
      <c r="AI91" s="8"/>
      <c r="AJ91" s="8"/>
      <c r="AK91" s="8"/>
      <c r="AL91" s="8"/>
      <c r="AM91" s="8">
        <v>469735072</v>
      </c>
      <c r="AN91" s="8">
        <f>SUBTOTAL(9,AC91:AM91)</f>
        <v>469735072</v>
      </c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>
        <v>273693945</v>
      </c>
      <c r="AZ91" s="8"/>
      <c r="BA91" s="8"/>
      <c r="BB91" s="8">
        <f>VLOOKUP(B91,'[2]anuladas en mayo gratuidad}'!K$2:L$55,2,0)</f>
        <v>135086254</v>
      </c>
      <c r="BC91" s="8">
        <f t="shared" si="9"/>
        <v>608342763</v>
      </c>
      <c r="BD91" s="4">
        <v>273693945</v>
      </c>
      <c r="BE91" s="4">
        <f t="shared" si="10"/>
        <v>334648818</v>
      </c>
      <c r="BF91" s="30">
        <f t="shared" si="11"/>
        <v>608342763</v>
      </c>
      <c r="BG91" s="18">
        <f t="shared" si="12"/>
        <v>0</v>
      </c>
      <c r="BH91" s="23"/>
      <c r="BI91" s="23"/>
      <c r="BJ91" s="23"/>
    </row>
    <row r="92" spans="1:66" ht="15" customHeight="1" x14ac:dyDescent="0.2">
      <c r="A92" s="1">
        <v>8000159911</v>
      </c>
      <c r="B92" s="1">
        <v>800015991</v>
      </c>
      <c r="C92" s="15">
        <v>217413074</v>
      </c>
      <c r="D92" s="16" t="s">
        <v>185</v>
      </c>
      <c r="E92" s="41" t="s">
        <v>1215</v>
      </c>
      <c r="F92" s="28"/>
      <c r="G92" s="17"/>
      <c r="H92" s="3"/>
      <c r="I92" s="2"/>
      <c r="J92" s="29"/>
      <c r="K92" s="3"/>
      <c r="L92" s="17"/>
      <c r="M92" s="34"/>
      <c r="N92" s="3"/>
      <c r="O92" s="17"/>
      <c r="P92" s="3"/>
      <c r="Q92" s="2"/>
      <c r="R92" s="3"/>
      <c r="S92" s="3"/>
      <c r="T92" s="17"/>
      <c r="U92" s="8">
        <f t="shared" si="7"/>
        <v>0</v>
      </c>
      <c r="V92" s="8"/>
      <c r="W92" s="8"/>
      <c r="X92" s="8"/>
      <c r="Y92" s="8"/>
      <c r="Z92" s="8"/>
      <c r="AA92" s="8"/>
      <c r="AB92" s="8"/>
      <c r="AC92" s="8">
        <f t="shared" si="8"/>
        <v>0</v>
      </c>
      <c r="AD92" s="8"/>
      <c r="AE92" s="8"/>
      <c r="AF92" s="8"/>
      <c r="AG92" s="8"/>
      <c r="AH92" s="8"/>
      <c r="AI92" s="8"/>
      <c r="AJ92" s="8"/>
      <c r="AK92" s="8"/>
      <c r="AL92" s="8"/>
      <c r="AM92" s="8">
        <v>198042156</v>
      </c>
      <c r="AN92" s="8">
        <f>SUBTOTAL(9,AC92:AM92)</f>
        <v>198042156</v>
      </c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>
        <f>VLOOKUP(B92,[1]Hoja3!J$3:K$674,2,0)</f>
        <v>142909106</v>
      </c>
      <c r="BB92" s="8"/>
      <c r="BC92" s="8">
        <f t="shared" si="9"/>
        <v>340951262</v>
      </c>
      <c r="BD92" s="4"/>
      <c r="BE92" s="4">
        <f t="shared" si="10"/>
        <v>340951262</v>
      </c>
      <c r="BF92" s="30">
        <f t="shared" si="11"/>
        <v>340951262</v>
      </c>
      <c r="BG92" s="18">
        <f t="shared" si="12"/>
        <v>0</v>
      </c>
      <c r="BH92" s="23"/>
      <c r="BI92" s="23"/>
      <c r="BJ92" s="14"/>
      <c r="BK92" s="14"/>
      <c r="BL92" s="14"/>
      <c r="BM92" s="14"/>
      <c r="BN92" s="14"/>
    </row>
    <row r="93" spans="1:66" ht="15" customHeight="1" x14ac:dyDescent="0.2">
      <c r="A93" s="1">
        <v>8000965764</v>
      </c>
      <c r="B93" s="1">
        <v>800096576</v>
      </c>
      <c r="C93" s="15">
        <v>214520045</v>
      </c>
      <c r="D93" s="16" t="s">
        <v>416</v>
      </c>
      <c r="E93" s="41" t="s">
        <v>1444</v>
      </c>
      <c r="F93" s="28"/>
      <c r="G93" s="2"/>
      <c r="H93" s="3"/>
      <c r="I93" s="2"/>
      <c r="J93" s="29"/>
      <c r="K93" s="3"/>
      <c r="L93" s="2"/>
      <c r="M93" s="8"/>
      <c r="N93" s="3"/>
      <c r="O93" s="2"/>
      <c r="P93" s="3"/>
      <c r="Q93" s="2"/>
      <c r="R93" s="3"/>
      <c r="S93" s="3"/>
      <c r="T93" s="2"/>
      <c r="U93" s="8">
        <f t="shared" si="7"/>
        <v>0</v>
      </c>
      <c r="V93" s="8"/>
      <c r="W93" s="8"/>
      <c r="X93" s="8"/>
      <c r="Y93" s="8"/>
      <c r="Z93" s="8"/>
      <c r="AA93" s="8"/>
      <c r="AB93" s="8"/>
      <c r="AC93" s="8">
        <f t="shared" si="8"/>
        <v>0</v>
      </c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>
        <v>206076010</v>
      </c>
      <c r="AZ93" s="8"/>
      <c r="BA93" s="8">
        <f>VLOOKUP(B93,[1]Hoja3!J$3:K$674,2,0)</f>
        <v>397998522</v>
      </c>
      <c r="BB93" s="8"/>
      <c r="BC93" s="8">
        <f t="shared" si="9"/>
        <v>604074532</v>
      </c>
      <c r="BD93" s="4">
        <v>206076010</v>
      </c>
      <c r="BE93" s="4">
        <f t="shared" si="10"/>
        <v>397998522</v>
      </c>
      <c r="BF93" s="30">
        <f t="shared" si="11"/>
        <v>604074532</v>
      </c>
      <c r="BG93" s="18">
        <f t="shared" si="12"/>
        <v>0</v>
      </c>
      <c r="BH93" s="23"/>
      <c r="BI93" s="23"/>
      <c r="BJ93" s="23"/>
    </row>
    <row r="94" spans="1:66" ht="15" customHeight="1" x14ac:dyDescent="0.2">
      <c r="A94" s="1">
        <v>8908026509</v>
      </c>
      <c r="B94" s="1">
        <v>890802650</v>
      </c>
      <c r="C94" s="15">
        <v>218817088</v>
      </c>
      <c r="D94" s="16" t="s">
        <v>339</v>
      </c>
      <c r="E94" s="41" t="s">
        <v>1370</v>
      </c>
      <c r="F94" s="28"/>
      <c r="G94" s="2"/>
      <c r="H94" s="3"/>
      <c r="I94" s="2"/>
      <c r="J94" s="29"/>
      <c r="K94" s="3"/>
      <c r="L94" s="2"/>
      <c r="M94" s="8"/>
      <c r="N94" s="3"/>
      <c r="O94" s="2"/>
      <c r="P94" s="3"/>
      <c r="Q94" s="2"/>
      <c r="R94" s="3"/>
      <c r="S94" s="3"/>
      <c r="T94" s="2"/>
      <c r="U94" s="8">
        <f t="shared" si="7"/>
        <v>0</v>
      </c>
      <c r="V94" s="8"/>
      <c r="W94" s="8"/>
      <c r="X94" s="8"/>
      <c r="Y94" s="8"/>
      <c r="Z94" s="8"/>
      <c r="AA94" s="8"/>
      <c r="AB94" s="8"/>
      <c r="AC94" s="8">
        <f t="shared" si="8"/>
        <v>0</v>
      </c>
      <c r="AD94" s="8"/>
      <c r="AE94" s="8"/>
      <c r="AF94" s="8"/>
      <c r="AG94" s="8"/>
      <c r="AH94" s="8"/>
      <c r="AI94" s="8"/>
      <c r="AJ94" s="8"/>
      <c r="AK94" s="8"/>
      <c r="AL94" s="8"/>
      <c r="AM94" s="8">
        <v>152347637</v>
      </c>
      <c r="AN94" s="8">
        <f>SUBTOTAL(9,AC94:AM94)</f>
        <v>152347637</v>
      </c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>
        <v>74387370</v>
      </c>
      <c r="AZ94" s="8"/>
      <c r="BA94" s="8"/>
      <c r="BB94" s="8">
        <f>VLOOKUP(B94,'[2]anuladas en mayo gratuidad}'!K$2:L$55,2,0)</f>
        <v>35001709</v>
      </c>
      <c r="BC94" s="8">
        <f t="shared" si="9"/>
        <v>191733298</v>
      </c>
      <c r="BD94" s="4">
        <v>74387370</v>
      </c>
      <c r="BE94" s="4">
        <f t="shared" si="10"/>
        <v>117345928</v>
      </c>
      <c r="BF94" s="30">
        <f t="shared" si="11"/>
        <v>191733298</v>
      </c>
      <c r="BG94" s="18">
        <f t="shared" si="12"/>
        <v>0</v>
      </c>
      <c r="BH94" s="23"/>
      <c r="BI94" s="23"/>
      <c r="BJ94" s="23"/>
    </row>
    <row r="95" spans="1:66" ht="15" customHeight="1" x14ac:dyDescent="0.2">
      <c r="A95" s="1">
        <v>8000957347</v>
      </c>
      <c r="B95" s="1">
        <v>800095734</v>
      </c>
      <c r="C95" s="15">
        <v>219418094</v>
      </c>
      <c r="D95" s="16" t="s">
        <v>2198</v>
      </c>
      <c r="E95" s="41" t="s">
        <v>1392</v>
      </c>
      <c r="F95" s="28"/>
      <c r="G95" s="2"/>
      <c r="H95" s="3"/>
      <c r="I95" s="2"/>
      <c r="J95" s="29"/>
      <c r="K95" s="3"/>
      <c r="L95" s="2"/>
      <c r="M95" s="8"/>
      <c r="N95" s="3"/>
      <c r="O95" s="2"/>
      <c r="P95" s="3"/>
      <c r="Q95" s="2"/>
      <c r="R95" s="3"/>
      <c r="S95" s="3"/>
      <c r="T95" s="2"/>
      <c r="U95" s="8">
        <f t="shared" si="7"/>
        <v>0</v>
      </c>
      <c r="V95" s="8"/>
      <c r="W95" s="8"/>
      <c r="X95" s="8"/>
      <c r="Y95" s="8"/>
      <c r="Z95" s="8"/>
      <c r="AA95" s="8"/>
      <c r="AB95" s="8"/>
      <c r="AC95" s="8">
        <f t="shared" si="8"/>
        <v>0</v>
      </c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>
        <v>95872655</v>
      </c>
      <c r="AZ95" s="8"/>
      <c r="BA95" s="8">
        <f>VLOOKUP(B95,[1]Hoja3!J$3:K$674,2,0)</f>
        <v>189491410</v>
      </c>
      <c r="BB95" s="8"/>
      <c r="BC95" s="8">
        <f t="shared" si="9"/>
        <v>285364065</v>
      </c>
      <c r="BD95" s="4">
        <v>95872655</v>
      </c>
      <c r="BE95" s="4">
        <f t="shared" si="10"/>
        <v>189491410</v>
      </c>
      <c r="BF95" s="30">
        <f t="shared" si="11"/>
        <v>285364065</v>
      </c>
      <c r="BG95" s="18">
        <f t="shared" si="12"/>
        <v>0</v>
      </c>
      <c r="BH95" s="23"/>
      <c r="BI95" s="23"/>
      <c r="BJ95" s="23"/>
    </row>
    <row r="96" spans="1:66" ht="15" customHeight="1" x14ac:dyDescent="0.2">
      <c r="A96" s="1">
        <v>8914800248</v>
      </c>
      <c r="B96" s="1">
        <v>891480024</v>
      </c>
      <c r="C96" s="15">
        <v>218866088</v>
      </c>
      <c r="D96" s="16" t="s">
        <v>802</v>
      </c>
      <c r="E96" s="41" t="s">
        <v>1820</v>
      </c>
      <c r="F96" s="28"/>
      <c r="G96" s="2"/>
      <c r="H96" s="3"/>
      <c r="I96" s="2"/>
      <c r="J96" s="29"/>
      <c r="K96" s="3"/>
      <c r="L96" s="2"/>
      <c r="M96" s="8"/>
      <c r="N96" s="3"/>
      <c r="O96" s="2"/>
      <c r="P96" s="3"/>
      <c r="Q96" s="2"/>
      <c r="R96" s="3"/>
      <c r="S96" s="3"/>
      <c r="T96" s="2"/>
      <c r="U96" s="8">
        <f t="shared" si="7"/>
        <v>0</v>
      </c>
      <c r="V96" s="8"/>
      <c r="W96" s="8"/>
      <c r="X96" s="8"/>
      <c r="Y96" s="8"/>
      <c r="Z96" s="8"/>
      <c r="AA96" s="8"/>
      <c r="AB96" s="8"/>
      <c r="AC96" s="8">
        <f t="shared" si="8"/>
        <v>0</v>
      </c>
      <c r="AD96" s="8"/>
      <c r="AE96" s="8"/>
      <c r="AF96" s="8"/>
      <c r="AG96" s="8"/>
      <c r="AH96" s="8"/>
      <c r="AI96" s="8"/>
      <c r="AJ96" s="8"/>
      <c r="AK96" s="8"/>
      <c r="AL96" s="8"/>
      <c r="AM96" s="8">
        <v>300431057</v>
      </c>
      <c r="AN96" s="8">
        <f>SUBTOTAL(9,AC96:AM96)</f>
        <v>300431057</v>
      </c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>
        <v>179588295</v>
      </c>
      <c r="AZ96" s="8"/>
      <c r="BA96" s="8">
        <f>VLOOKUP(B96,[1]Hoja3!J$3:K$674,2,0)</f>
        <v>47960209</v>
      </c>
      <c r="BB96" s="8"/>
      <c r="BC96" s="8">
        <f t="shared" si="9"/>
        <v>527979561</v>
      </c>
      <c r="BD96" s="4">
        <v>179588295</v>
      </c>
      <c r="BE96" s="4">
        <f t="shared" si="10"/>
        <v>348391266</v>
      </c>
      <c r="BF96" s="30">
        <f t="shared" si="11"/>
        <v>527979561</v>
      </c>
      <c r="BG96" s="18">
        <f t="shared" si="12"/>
        <v>0</v>
      </c>
      <c r="BH96" s="23"/>
      <c r="BI96" s="23"/>
      <c r="BJ96" s="23"/>
    </row>
    <row r="97" spans="1:66" ht="15" customHeight="1" x14ac:dyDescent="0.2">
      <c r="A97" s="1">
        <v>8000991994</v>
      </c>
      <c r="B97" s="1">
        <v>800099199</v>
      </c>
      <c r="C97" s="15">
        <v>218715087</v>
      </c>
      <c r="D97" s="16" t="s">
        <v>221</v>
      </c>
      <c r="E97" s="41" t="s">
        <v>1256</v>
      </c>
      <c r="F97" s="28"/>
      <c r="G97" s="17"/>
      <c r="H97" s="3"/>
      <c r="I97" s="2"/>
      <c r="J97" s="29"/>
      <c r="K97" s="3"/>
      <c r="L97" s="17"/>
      <c r="M97" s="34"/>
      <c r="N97" s="3"/>
      <c r="O97" s="17"/>
      <c r="P97" s="3"/>
      <c r="Q97" s="2"/>
      <c r="R97" s="3"/>
      <c r="S97" s="3"/>
      <c r="T97" s="17"/>
      <c r="U97" s="8">
        <f t="shared" si="7"/>
        <v>0</v>
      </c>
      <c r="V97" s="8"/>
      <c r="W97" s="8"/>
      <c r="X97" s="8"/>
      <c r="Y97" s="8"/>
      <c r="Z97" s="8"/>
      <c r="AA97" s="8"/>
      <c r="AB97" s="8"/>
      <c r="AC97" s="8">
        <f t="shared" si="8"/>
        <v>0</v>
      </c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>
        <v>57328395</v>
      </c>
      <c r="AZ97" s="8"/>
      <c r="BA97" s="8">
        <f>VLOOKUP(B97,[1]Hoja3!J$3:K$674,2,0)</f>
        <v>134506122</v>
      </c>
      <c r="BB97" s="8"/>
      <c r="BC97" s="8">
        <f t="shared" si="9"/>
        <v>191834517</v>
      </c>
      <c r="BD97" s="4">
        <v>57328395</v>
      </c>
      <c r="BE97" s="4">
        <f t="shared" si="10"/>
        <v>134506122</v>
      </c>
      <c r="BF97" s="30">
        <f t="shared" si="11"/>
        <v>191834517</v>
      </c>
      <c r="BG97" s="18">
        <f t="shared" si="12"/>
        <v>0</v>
      </c>
      <c r="BH97" s="23"/>
      <c r="BI97" s="23"/>
      <c r="BJ97" s="14"/>
      <c r="BK97" s="14"/>
      <c r="BL97" s="14"/>
      <c r="BM97" s="14"/>
      <c r="BN97" s="14"/>
    </row>
    <row r="98" spans="1:66" ht="15" customHeight="1" x14ac:dyDescent="0.2">
      <c r="A98" s="1">
        <v>8000354821</v>
      </c>
      <c r="B98" s="1">
        <v>800035482</v>
      </c>
      <c r="C98" s="15">
        <v>218352083</v>
      </c>
      <c r="D98" s="16" t="s">
        <v>697</v>
      </c>
      <c r="E98" s="41" t="s">
        <v>1720</v>
      </c>
      <c r="F98" s="28"/>
      <c r="G98" s="2"/>
      <c r="H98" s="3"/>
      <c r="I98" s="2"/>
      <c r="J98" s="29"/>
      <c r="K98" s="3"/>
      <c r="L98" s="2"/>
      <c r="M98" s="8"/>
      <c r="N98" s="3"/>
      <c r="O98" s="2"/>
      <c r="P98" s="3"/>
      <c r="Q98" s="2"/>
      <c r="R98" s="3"/>
      <c r="S98" s="3"/>
      <c r="T98" s="2"/>
      <c r="U98" s="8">
        <f t="shared" si="7"/>
        <v>0</v>
      </c>
      <c r="V98" s="8"/>
      <c r="W98" s="8"/>
      <c r="X98" s="8"/>
      <c r="Y98" s="8"/>
      <c r="Z98" s="8"/>
      <c r="AA98" s="8"/>
      <c r="AB98" s="8"/>
      <c r="AC98" s="8">
        <f t="shared" si="8"/>
        <v>0</v>
      </c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>
        <v>53437905</v>
      </c>
      <c r="AZ98" s="8"/>
      <c r="BA98" s="8">
        <f>VLOOKUP(B98,[1]Hoja3!J$3:K$674,2,0)</f>
        <v>86353026</v>
      </c>
      <c r="BB98" s="8"/>
      <c r="BC98" s="8">
        <f t="shared" si="9"/>
        <v>139790931</v>
      </c>
      <c r="BD98" s="4">
        <v>53437905</v>
      </c>
      <c r="BE98" s="4">
        <f t="shared" si="10"/>
        <v>86353026</v>
      </c>
      <c r="BF98" s="30">
        <f t="shared" si="11"/>
        <v>139790931</v>
      </c>
      <c r="BG98" s="18">
        <f t="shared" si="12"/>
        <v>0</v>
      </c>
      <c r="BH98" s="23"/>
      <c r="BI98" s="23"/>
      <c r="BJ98" s="23"/>
    </row>
    <row r="99" spans="1:66" ht="15" customHeight="1" x14ac:dyDescent="0.2">
      <c r="A99" s="1">
        <v>8909801121</v>
      </c>
      <c r="B99" s="1">
        <v>890980112</v>
      </c>
      <c r="C99" s="15">
        <v>218805088</v>
      </c>
      <c r="D99" s="16" t="s">
        <v>2145</v>
      </c>
      <c r="E99" s="53" t="s">
        <v>1050</v>
      </c>
      <c r="F99" s="28"/>
      <c r="G99" s="2"/>
      <c r="H99" s="3"/>
      <c r="I99" s="2">
        <f>6249096014+191262711</f>
        <v>6440358725</v>
      </c>
      <c r="J99" s="29">
        <v>427563890</v>
      </c>
      <c r="K99" s="3">
        <v>847939324</v>
      </c>
      <c r="L99" s="2"/>
      <c r="M99" s="37">
        <f>SUM(F99:L99)</f>
        <v>7715861939</v>
      </c>
      <c r="N99" s="3"/>
      <c r="O99" s="2"/>
      <c r="P99" s="3"/>
      <c r="Q99" s="2">
        <f>6031580244+86937596</f>
        <v>6118517840</v>
      </c>
      <c r="R99" s="3">
        <v>427858461</v>
      </c>
      <c r="S99" s="3">
        <f>420375434+427858461</f>
        <v>848233895</v>
      </c>
      <c r="T99" s="2"/>
      <c r="U99" s="8">
        <f t="shared" si="7"/>
        <v>15110472135</v>
      </c>
      <c r="V99" s="8"/>
      <c r="W99" s="8"/>
      <c r="X99" s="8"/>
      <c r="Y99" s="8">
        <v>9761608392</v>
      </c>
      <c r="Z99" s="8">
        <v>477439030</v>
      </c>
      <c r="AA99" s="8">
        <v>1029965284</v>
      </c>
      <c r="AB99" s="8"/>
      <c r="AC99" s="8">
        <f t="shared" si="8"/>
        <v>26379484841</v>
      </c>
      <c r="AD99" s="8"/>
      <c r="AE99" s="8"/>
      <c r="AF99" s="8"/>
      <c r="AG99" s="8"/>
      <c r="AH99" s="8">
        <v>6602137430</v>
      </c>
      <c r="AI99" s="8">
        <v>4213674499</v>
      </c>
      <c r="AJ99" s="8">
        <v>446291649</v>
      </c>
      <c r="AK99" s="8">
        <v>1124721814</v>
      </c>
      <c r="AL99" s="8"/>
      <c r="AM99" s="8">
        <v>3600406214</v>
      </c>
      <c r="AN99" s="8">
        <f>SUBTOTAL(9,AC99:AM99)</f>
        <v>42366716447</v>
      </c>
      <c r="AO99" s="8"/>
      <c r="AP99" s="8"/>
      <c r="AQ99" s="8">
        <v>1156544985</v>
      </c>
      <c r="AR99" s="8"/>
      <c r="AS99" s="8"/>
      <c r="AT99" s="8">
        <v>6602137430</v>
      </c>
      <c r="AU99" s="8"/>
      <c r="AV99" s="8">
        <v>446291649</v>
      </c>
      <c r="AW99" s="8">
        <v>761995588</v>
      </c>
      <c r="AX99" s="8"/>
      <c r="AY99" s="8"/>
      <c r="AZ99" s="8">
        <v>1504499642</v>
      </c>
      <c r="BA99" s="8">
        <f>VLOOKUP(B99,[1]Hoja3!J$3:K$674,2,0)</f>
        <v>82077315</v>
      </c>
      <c r="BB99" s="8">
        <f>VLOOKUP(B99,'[2]anuladas en mayo gratuidad}'!K$2:L$55,2,0)</f>
        <v>235188823</v>
      </c>
      <c r="BC99" s="8">
        <f t="shared" si="9"/>
        <v>52685074233</v>
      </c>
      <c r="BD99" s="4">
        <v>49237779527</v>
      </c>
      <c r="BE99" s="4">
        <f t="shared" si="10"/>
        <v>3447294706</v>
      </c>
      <c r="BF99" s="30">
        <f t="shared" si="11"/>
        <v>52685074233</v>
      </c>
      <c r="BG99" s="18">
        <f t="shared" si="12"/>
        <v>0</v>
      </c>
      <c r="BH99" s="23"/>
      <c r="BI99" s="23"/>
      <c r="BJ99" s="23"/>
    </row>
    <row r="100" spans="1:66" ht="15" customHeight="1" x14ac:dyDescent="0.2">
      <c r="A100" s="1">
        <v>8909818802</v>
      </c>
      <c r="B100" s="1">
        <v>890981880</v>
      </c>
      <c r="C100" s="15">
        <v>218605086</v>
      </c>
      <c r="D100" s="16" t="s">
        <v>59</v>
      </c>
      <c r="E100" s="41" t="s">
        <v>1090</v>
      </c>
      <c r="F100" s="28"/>
      <c r="G100" s="2"/>
      <c r="H100" s="3"/>
      <c r="I100" s="2"/>
      <c r="J100" s="29"/>
      <c r="K100" s="3"/>
      <c r="L100" s="2"/>
      <c r="M100" s="8"/>
      <c r="N100" s="3"/>
      <c r="O100" s="2"/>
      <c r="P100" s="3"/>
      <c r="Q100" s="2"/>
      <c r="R100" s="3"/>
      <c r="S100" s="3"/>
      <c r="T100" s="2"/>
      <c r="U100" s="8">
        <f t="shared" si="7"/>
        <v>0</v>
      </c>
      <c r="V100" s="8"/>
      <c r="W100" s="8"/>
      <c r="X100" s="8"/>
      <c r="Y100" s="8"/>
      <c r="Z100" s="8"/>
      <c r="AA100" s="8"/>
      <c r="AB100" s="8"/>
      <c r="AC100" s="8">
        <f t="shared" si="8"/>
        <v>0</v>
      </c>
      <c r="AD100" s="8"/>
      <c r="AE100" s="8"/>
      <c r="AF100" s="8"/>
      <c r="AG100" s="8"/>
      <c r="AH100" s="8"/>
      <c r="AI100" s="8"/>
      <c r="AJ100" s="8"/>
      <c r="AK100" s="8"/>
      <c r="AL100" s="8"/>
      <c r="AM100" s="8">
        <v>39748788</v>
      </c>
      <c r="AN100" s="8">
        <f>SUBTOTAL(9,AC100:AM100)</f>
        <v>39748788</v>
      </c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>
        <v>43980605</v>
      </c>
      <c r="AZ100" s="8"/>
      <c r="BA100" s="8">
        <f>VLOOKUP(B100,[1]Hoja3!J$3:K$674,2,0)</f>
        <v>77255401</v>
      </c>
      <c r="BB100" s="8"/>
      <c r="BC100" s="8">
        <f t="shared" si="9"/>
        <v>160984794</v>
      </c>
      <c r="BD100" s="4">
        <v>43980605</v>
      </c>
      <c r="BE100" s="4">
        <f t="shared" si="10"/>
        <v>117004189</v>
      </c>
      <c r="BF100" s="30">
        <f t="shared" si="11"/>
        <v>160984794</v>
      </c>
      <c r="BG100" s="18">
        <f t="shared" si="12"/>
        <v>0</v>
      </c>
      <c r="BH100" s="23"/>
      <c r="BI100" s="23"/>
      <c r="BJ100" s="23"/>
    </row>
    <row r="101" spans="1:66" ht="15" customHeight="1" x14ac:dyDescent="0.2">
      <c r="A101" s="1">
        <v>8000946240</v>
      </c>
      <c r="B101" s="1">
        <v>800094624</v>
      </c>
      <c r="C101" s="15">
        <v>218625086</v>
      </c>
      <c r="D101" s="16" t="s">
        <v>465</v>
      </c>
      <c r="E101" s="41" t="s">
        <v>1492</v>
      </c>
      <c r="F101" s="28"/>
      <c r="G101" s="2"/>
      <c r="H101" s="3"/>
      <c r="I101" s="2"/>
      <c r="J101" s="29"/>
      <c r="K101" s="3"/>
      <c r="L101" s="2"/>
      <c r="M101" s="8"/>
      <c r="N101" s="3"/>
      <c r="O101" s="2"/>
      <c r="P101" s="3"/>
      <c r="Q101" s="2"/>
      <c r="R101" s="3"/>
      <c r="S101" s="3"/>
      <c r="T101" s="2"/>
      <c r="U101" s="8">
        <f t="shared" si="7"/>
        <v>0</v>
      </c>
      <c r="V101" s="8"/>
      <c r="W101" s="8"/>
      <c r="X101" s="8"/>
      <c r="Y101" s="8"/>
      <c r="Z101" s="8"/>
      <c r="AA101" s="8"/>
      <c r="AB101" s="8"/>
      <c r="AC101" s="8">
        <f t="shared" si="8"/>
        <v>0</v>
      </c>
      <c r="AD101" s="8"/>
      <c r="AE101" s="8"/>
      <c r="AF101" s="8"/>
      <c r="AG101" s="8"/>
      <c r="AH101" s="8"/>
      <c r="AI101" s="8"/>
      <c r="AJ101" s="8"/>
      <c r="AK101" s="8"/>
      <c r="AL101" s="8"/>
      <c r="AM101" s="8">
        <v>37868774</v>
      </c>
      <c r="AN101" s="8">
        <f>SUBTOTAL(9,AC101:AM101)</f>
        <v>37868774</v>
      </c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>
        <f t="shared" si="9"/>
        <v>37868774</v>
      </c>
      <c r="BD101" s="4"/>
      <c r="BE101" s="4">
        <f t="shared" si="10"/>
        <v>37868774</v>
      </c>
      <c r="BF101" s="30">
        <f t="shared" si="11"/>
        <v>37868774</v>
      </c>
      <c r="BG101" s="18">
        <f t="shared" si="12"/>
        <v>0</v>
      </c>
      <c r="BH101" s="23"/>
      <c r="BI101" s="23"/>
      <c r="BJ101" s="23"/>
    </row>
    <row r="102" spans="1:66" ht="15" customHeight="1" x14ac:dyDescent="0.2">
      <c r="A102" s="1">
        <v>8000993905</v>
      </c>
      <c r="B102" s="1">
        <v>800099390</v>
      </c>
      <c r="C102" s="15">
        <v>219015090</v>
      </c>
      <c r="D102" s="16" t="s">
        <v>222</v>
      </c>
      <c r="E102" s="41" t="s">
        <v>1257</v>
      </c>
      <c r="F102" s="28"/>
      <c r="G102" s="17"/>
      <c r="H102" s="3"/>
      <c r="I102" s="2"/>
      <c r="J102" s="29"/>
      <c r="K102" s="3"/>
      <c r="L102" s="17"/>
      <c r="M102" s="34"/>
      <c r="N102" s="3"/>
      <c r="O102" s="17"/>
      <c r="P102" s="3"/>
      <c r="Q102" s="2"/>
      <c r="R102" s="3"/>
      <c r="S102" s="3"/>
      <c r="T102" s="17"/>
      <c r="U102" s="8">
        <f t="shared" si="7"/>
        <v>0</v>
      </c>
      <c r="V102" s="8"/>
      <c r="W102" s="8"/>
      <c r="X102" s="8"/>
      <c r="Y102" s="8"/>
      <c r="Z102" s="8"/>
      <c r="AA102" s="8"/>
      <c r="AB102" s="8"/>
      <c r="AC102" s="8">
        <f t="shared" si="8"/>
        <v>0</v>
      </c>
      <c r="AD102" s="8"/>
      <c r="AE102" s="8"/>
      <c r="AF102" s="8"/>
      <c r="AG102" s="8"/>
      <c r="AH102" s="8"/>
      <c r="AI102" s="8"/>
      <c r="AJ102" s="8"/>
      <c r="AK102" s="8"/>
      <c r="AL102" s="8"/>
      <c r="AM102" s="8">
        <v>23403151</v>
      </c>
      <c r="AN102" s="8">
        <f>SUBTOTAL(9,AC102:AM102)</f>
        <v>23403151</v>
      </c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>
        <v>13134570</v>
      </c>
      <c r="AZ102" s="8"/>
      <c r="BA102" s="8"/>
      <c r="BB102" s="8"/>
      <c r="BC102" s="8">
        <f t="shared" si="9"/>
        <v>36537721</v>
      </c>
      <c r="BD102" s="4">
        <v>13134570</v>
      </c>
      <c r="BE102" s="4">
        <f t="shared" si="10"/>
        <v>23403151</v>
      </c>
      <c r="BF102" s="30">
        <f t="shared" si="11"/>
        <v>36537721</v>
      </c>
      <c r="BG102" s="18">
        <f t="shared" si="12"/>
        <v>0</v>
      </c>
      <c r="BH102" s="23"/>
      <c r="BI102" s="23"/>
      <c r="BJ102" s="14"/>
      <c r="BK102" s="14"/>
      <c r="BL102" s="14"/>
      <c r="BM102" s="14"/>
      <c r="BN102" s="14"/>
    </row>
    <row r="103" spans="1:66" ht="15" customHeight="1" x14ac:dyDescent="0.2">
      <c r="A103" s="1">
        <v>8909808023</v>
      </c>
      <c r="B103" s="1">
        <v>890980802</v>
      </c>
      <c r="C103" s="15">
        <v>219105091</v>
      </c>
      <c r="D103" s="16" t="s">
        <v>60</v>
      </c>
      <c r="E103" s="41" t="s">
        <v>1091</v>
      </c>
      <c r="F103" s="28"/>
      <c r="G103" s="2"/>
      <c r="H103" s="3"/>
      <c r="I103" s="2"/>
      <c r="J103" s="29"/>
      <c r="K103" s="3"/>
      <c r="L103" s="2"/>
      <c r="M103" s="8"/>
      <c r="N103" s="3"/>
      <c r="O103" s="2"/>
      <c r="P103" s="3"/>
      <c r="Q103" s="2"/>
      <c r="R103" s="3"/>
      <c r="S103" s="3"/>
      <c r="T103" s="2"/>
      <c r="U103" s="8">
        <f t="shared" si="7"/>
        <v>0</v>
      </c>
      <c r="V103" s="8"/>
      <c r="W103" s="8"/>
      <c r="X103" s="8"/>
      <c r="Y103" s="8"/>
      <c r="Z103" s="8"/>
      <c r="AA103" s="8"/>
      <c r="AB103" s="8"/>
      <c r="AC103" s="8">
        <f t="shared" si="8"/>
        <v>0</v>
      </c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>
        <v>57712025</v>
      </c>
      <c r="AZ103" s="8"/>
      <c r="BA103" s="8">
        <f>VLOOKUP(B103,[1]Hoja3!J$3:K$674,2,0)</f>
        <v>132657968</v>
      </c>
      <c r="BB103" s="8"/>
      <c r="BC103" s="8">
        <f t="shared" si="9"/>
        <v>190369993</v>
      </c>
      <c r="BD103" s="4">
        <v>57712025</v>
      </c>
      <c r="BE103" s="4">
        <f t="shared" si="10"/>
        <v>132657968</v>
      </c>
      <c r="BF103" s="30">
        <f t="shared" si="11"/>
        <v>190369993</v>
      </c>
      <c r="BG103" s="18">
        <f t="shared" si="12"/>
        <v>0</v>
      </c>
      <c r="BH103" s="23"/>
      <c r="BI103" s="23"/>
      <c r="BJ103" s="23"/>
    </row>
    <row r="104" spans="1:66" ht="15" customHeight="1" x14ac:dyDescent="0.2">
      <c r="A104" s="1">
        <v>8000172880</v>
      </c>
      <c r="B104" s="1">
        <v>800017288</v>
      </c>
      <c r="C104" s="15">
        <v>219215092</v>
      </c>
      <c r="D104" s="16" t="s">
        <v>223</v>
      </c>
      <c r="E104" s="41" t="s">
        <v>1258</v>
      </c>
      <c r="F104" s="28"/>
      <c r="G104" s="17"/>
      <c r="H104" s="3"/>
      <c r="I104" s="2"/>
      <c r="J104" s="29"/>
      <c r="K104" s="3"/>
      <c r="L104" s="17"/>
      <c r="M104" s="34"/>
      <c r="N104" s="3"/>
      <c r="O104" s="17"/>
      <c r="P104" s="3"/>
      <c r="Q104" s="2"/>
      <c r="R104" s="3"/>
      <c r="S104" s="3"/>
      <c r="T104" s="17"/>
      <c r="U104" s="8">
        <f t="shared" si="7"/>
        <v>0</v>
      </c>
      <c r="V104" s="8"/>
      <c r="W104" s="8"/>
      <c r="X104" s="8"/>
      <c r="Y104" s="8"/>
      <c r="Z104" s="8"/>
      <c r="AA104" s="8"/>
      <c r="AB104" s="8"/>
      <c r="AC104" s="8">
        <f t="shared" si="8"/>
        <v>0</v>
      </c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>
        <v>16546735</v>
      </c>
      <c r="AZ104" s="8"/>
      <c r="BA104" s="8">
        <f>VLOOKUP(B104,[1]Hoja3!J$3:K$674,2,0)</f>
        <v>24811259</v>
      </c>
      <c r="BB104" s="8"/>
      <c r="BC104" s="8">
        <f t="shared" si="9"/>
        <v>41357994</v>
      </c>
      <c r="BD104" s="4">
        <v>16546735</v>
      </c>
      <c r="BE104" s="4">
        <f t="shared" si="10"/>
        <v>24811259</v>
      </c>
      <c r="BF104" s="30">
        <f t="shared" si="11"/>
        <v>41357994</v>
      </c>
      <c r="BG104" s="18">
        <f t="shared" si="12"/>
        <v>0</v>
      </c>
      <c r="BH104" s="23"/>
      <c r="BI104" s="23"/>
      <c r="BJ104" s="14"/>
      <c r="BK104" s="14"/>
      <c r="BL104" s="14"/>
      <c r="BM104" s="14"/>
      <c r="BN104" s="14"/>
    </row>
    <row r="105" spans="1:66" ht="15" customHeight="1" x14ac:dyDescent="0.2">
      <c r="A105" s="1">
        <v>8909823211</v>
      </c>
      <c r="B105" s="1">
        <v>890982321</v>
      </c>
      <c r="C105" s="15">
        <v>219305093</v>
      </c>
      <c r="D105" s="16" t="s">
        <v>61</v>
      </c>
      <c r="E105" s="41" t="s">
        <v>1092</v>
      </c>
      <c r="F105" s="28"/>
      <c r="G105" s="2"/>
      <c r="H105" s="3"/>
      <c r="I105" s="2"/>
      <c r="J105" s="29"/>
      <c r="K105" s="3"/>
      <c r="L105" s="2"/>
      <c r="M105" s="8"/>
      <c r="N105" s="3"/>
      <c r="O105" s="2"/>
      <c r="P105" s="3"/>
      <c r="Q105" s="2"/>
      <c r="R105" s="3"/>
      <c r="S105" s="3"/>
      <c r="T105" s="2"/>
      <c r="U105" s="8">
        <f t="shared" si="7"/>
        <v>0</v>
      </c>
      <c r="V105" s="8"/>
      <c r="W105" s="8"/>
      <c r="X105" s="8"/>
      <c r="Y105" s="8"/>
      <c r="Z105" s="8"/>
      <c r="AA105" s="8"/>
      <c r="AB105" s="8"/>
      <c r="AC105" s="8">
        <f t="shared" si="8"/>
        <v>0</v>
      </c>
      <c r="AD105" s="8"/>
      <c r="AE105" s="8"/>
      <c r="AF105" s="8"/>
      <c r="AG105" s="8"/>
      <c r="AH105" s="8"/>
      <c r="AI105" s="8"/>
      <c r="AJ105" s="8"/>
      <c r="AK105" s="8"/>
      <c r="AL105" s="8"/>
      <c r="AM105" s="8">
        <v>184804556</v>
      </c>
      <c r="AN105" s="8">
        <f>SUBTOTAL(9,AC105:AM105)</f>
        <v>184804556</v>
      </c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>
        <v>143928765</v>
      </c>
      <c r="AZ105" s="8"/>
      <c r="BA105" s="8">
        <f>VLOOKUP(B105,[1]Hoja3!J$3:K$674,2,0)</f>
        <v>67534596</v>
      </c>
      <c r="BB105" s="8"/>
      <c r="BC105" s="8">
        <f t="shared" si="9"/>
        <v>396267917</v>
      </c>
      <c r="BD105" s="4">
        <v>143928765</v>
      </c>
      <c r="BE105" s="4">
        <f t="shared" si="10"/>
        <v>252339152</v>
      </c>
      <c r="BF105" s="30">
        <f t="shared" si="11"/>
        <v>396267917</v>
      </c>
      <c r="BG105" s="18">
        <f t="shared" si="12"/>
        <v>0</v>
      </c>
      <c r="BH105" s="23"/>
      <c r="BI105" s="23"/>
      <c r="BJ105" s="23"/>
    </row>
    <row r="106" spans="1:66" ht="15" customHeight="1" x14ac:dyDescent="0.2">
      <c r="A106" s="1">
        <v>8902081191</v>
      </c>
      <c r="B106" s="1">
        <v>890208119</v>
      </c>
      <c r="C106" s="15">
        <v>219268092</v>
      </c>
      <c r="D106" s="16" t="s">
        <v>817</v>
      </c>
      <c r="E106" s="41" t="s">
        <v>1835</v>
      </c>
      <c r="F106" s="28"/>
      <c r="G106" s="17"/>
      <c r="H106" s="3"/>
      <c r="I106" s="2"/>
      <c r="J106" s="29"/>
      <c r="K106" s="3"/>
      <c r="L106" s="17"/>
      <c r="M106" s="34"/>
      <c r="N106" s="3"/>
      <c r="O106" s="17"/>
      <c r="P106" s="3"/>
      <c r="Q106" s="2"/>
      <c r="R106" s="3"/>
      <c r="S106" s="3"/>
      <c r="T106" s="17"/>
      <c r="U106" s="8">
        <f t="shared" si="7"/>
        <v>0</v>
      </c>
      <c r="V106" s="8"/>
      <c r="W106" s="8"/>
      <c r="X106" s="8"/>
      <c r="Y106" s="8"/>
      <c r="Z106" s="8"/>
      <c r="AA106" s="8"/>
      <c r="AB106" s="8"/>
      <c r="AC106" s="8">
        <f t="shared" si="8"/>
        <v>0</v>
      </c>
      <c r="AD106" s="8"/>
      <c r="AE106" s="8"/>
      <c r="AF106" s="8"/>
      <c r="AG106" s="8"/>
      <c r="AH106" s="8"/>
      <c r="AI106" s="8"/>
      <c r="AJ106" s="8"/>
      <c r="AK106" s="8"/>
      <c r="AL106" s="8"/>
      <c r="AM106" s="8">
        <v>61664529</v>
      </c>
      <c r="AN106" s="8">
        <f>SUBTOTAL(9,AC106:AM106)</f>
        <v>61664529</v>
      </c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>
        <v>45198085</v>
      </c>
      <c r="AZ106" s="8"/>
      <c r="BA106" s="8">
        <f>VLOOKUP(B106,[1]Hoja3!J$3:K$674,2,0)</f>
        <v>41250308</v>
      </c>
      <c r="BB106" s="8"/>
      <c r="BC106" s="8">
        <f t="shared" si="9"/>
        <v>148112922</v>
      </c>
      <c r="BD106" s="4">
        <v>45198085</v>
      </c>
      <c r="BE106" s="4">
        <f t="shared" si="10"/>
        <v>102914837</v>
      </c>
      <c r="BF106" s="30">
        <f t="shared" si="11"/>
        <v>148112922</v>
      </c>
      <c r="BG106" s="18">
        <f t="shared" si="12"/>
        <v>0</v>
      </c>
      <c r="BH106" s="23"/>
      <c r="BI106" s="23"/>
      <c r="BJ106" s="14"/>
      <c r="BK106" s="14"/>
      <c r="BL106" s="14"/>
      <c r="BM106" s="14"/>
      <c r="BN106" s="14"/>
    </row>
    <row r="107" spans="1:66" ht="15" customHeight="1" x14ac:dyDescent="0.2">
      <c r="A107" s="1">
        <v>8999997085</v>
      </c>
      <c r="B107" s="1">
        <v>899999708</v>
      </c>
      <c r="C107" s="15">
        <v>219525095</v>
      </c>
      <c r="D107" s="16" t="s">
        <v>466</v>
      </c>
      <c r="E107" s="41" t="s">
        <v>1493</v>
      </c>
      <c r="F107" s="28"/>
      <c r="G107" s="2"/>
      <c r="H107" s="3"/>
      <c r="I107" s="2"/>
      <c r="J107" s="29"/>
      <c r="K107" s="3"/>
      <c r="L107" s="2"/>
      <c r="M107" s="8"/>
      <c r="N107" s="3"/>
      <c r="O107" s="2"/>
      <c r="P107" s="3"/>
      <c r="Q107" s="2"/>
      <c r="R107" s="3"/>
      <c r="S107" s="3"/>
      <c r="T107" s="2"/>
      <c r="U107" s="8">
        <f t="shared" si="7"/>
        <v>0</v>
      </c>
      <c r="V107" s="8"/>
      <c r="W107" s="8"/>
      <c r="X107" s="8"/>
      <c r="Y107" s="8"/>
      <c r="Z107" s="8"/>
      <c r="AA107" s="8"/>
      <c r="AB107" s="8"/>
      <c r="AC107" s="8">
        <f t="shared" si="8"/>
        <v>0</v>
      </c>
      <c r="AD107" s="8"/>
      <c r="AE107" s="8"/>
      <c r="AF107" s="8"/>
      <c r="AG107" s="8"/>
      <c r="AH107" s="8"/>
      <c r="AI107" s="8"/>
      <c r="AJ107" s="8"/>
      <c r="AK107" s="8"/>
      <c r="AL107" s="8"/>
      <c r="AM107" s="8">
        <v>38325872</v>
      </c>
      <c r="AN107" s="8">
        <f>SUBTOTAL(9,AC107:AM107)</f>
        <v>38325872</v>
      </c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>
        <v>17001555</v>
      </c>
      <c r="AZ107" s="8"/>
      <c r="BA107" s="8"/>
      <c r="BB107" s="8"/>
      <c r="BC107" s="8">
        <f t="shared" si="9"/>
        <v>55327427</v>
      </c>
      <c r="BD107" s="4">
        <v>17001555</v>
      </c>
      <c r="BE107" s="4">
        <f t="shared" si="10"/>
        <v>38325872</v>
      </c>
      <c r="BF107" s="30">
        <f t="shared" si="11"/>
        <v>55327427</v>
      </c>
      <c r="BG107" s="18">
        <f t="shared" si="12"/>
        <v>0</v>
      </c>
      <c r="BH107" s="23"/>
      <c r="BI107" s="23"/>
      <c r="BJ107" s="23"/>
    </row>
    <row r="108" spans="1:66" ht="15" customHeight="1" x14ac:dyDescent="0.2">
      <c r="A108" s="1">
        <v>8918562945</v>
      </c>
      <c r="B108" s="1">
        <v>891856294</v>
      </c>
      <c r="C108" s="15">
        <v>219715097</v>
      </c>
      <c r="D108" s="16" t="s">
        <v>224</v>
      </c>
      <c r="E108" s="41" t="s">
        <v>1259</v>
      </c>
      <c r="F108" s="28"/>
      <c r="G108" s="17"/>
      <c r="H108" s="3"/>
      <c r="I108" s="2"/>
      <c r="J108" s="29"/>
      <c r="K108" s="3"/>
      <c r="L108" s="17"/>
      <c r="M108" s="34"/>
      <c r="N108" s="3"/>
      <c r="O108" s="17"/>
      <c r="P108" s="3"/>
      <c r="Q108" s="2"/>
      <c r="R108" s="3"/>
      <c r="S108" s="3"/>
      <c r="T108" s="17"/>
      <c r="U108" s="8">
        <f t="shared" si="7"/>
        <v>0</v>
      </c>
      <c r="V108" s="8"/>
      <c r="W108" s="8"/>
      <c r="X108" s="8"/>
      <c r="Y108" s="8"/>
      <c r="Z108" s="8"/>
      <c r="AA108" s="8"/>
      <c r="AB108" s="8"/>
      <c r="AC108" s="8">
        <f t="shared" si="8"/>
        <v>0</v>
      </c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>
        <v>52834765</v>
      </c>
      <c r="AZ108" s="8"/>
      <c r="BA108" s="8">
        <f>VLOOKUP(B108,[1]Hoja3!J$3:K$674,2,0)</f>
        <v>85083265</v>
      </c>
      <c r="BB108" s="8"/>
      <c r="BC108" s="8">
        <f t="shared" si="9"/>
        <v>137918030</v>
      </c>
      <c r="BD108" s="4">
        <v>52834765</v>
      </c>
      <c r="BE108" s="4">
        <f t="shared" si="10"/>
        <v>85083265</v>
      </c>
      <c r="BF108" s="30">
        <f t="shared" si="11"/>
        <v>137918030</v>
      </c>
      <c r="BG108" s="18">
        <f t="shared" si="12"/>
        <v>0</v>
      </c>
      <c r="BH108" s="23"/>
      <c r="BI108" s="23"/>
      <c r="BJ108" s="14"/>
      <c r="BK108" s="14"/>
      <c r="BL108" s="14"/>
      <c r="BM108" s="14"/>
      <c r="BN108" s="14"/>
    </row>
    <row r="109" spans="1:66" ht="15" customHeight="1" x14ac:dyDescent="0.2">
      <c r="A109" s="1">
        <v>8905056623</v>
      </c>
      <c r="B109" s="1">
        <v>890505662</v>
      </c>
      <c r="C109" s="15">
        <v>219954099</v>
      </c>
      <c r="D109" s="16" t="s">
        <v>753</v>
      </c>
      <c r="E109" s="41" t="s">
        <v>1774</v>
      </c>
      <c r="F109" s="28"/>
      <c r="G109" s="2"/>
      <c r="H109" s="3"/>
      <c r="I109" s="2"/>
      <c r="J109" s="29"/>
      <c r="K109" s="3"/>
      <c r="L109" s="2"/>
      <c r="M109" s="8"/>
      <c r="N109" s="3"/>
      <c r="O109" s="2"/>
      <c r="P109" s="3"/>
      <c r="Q109" s="2"/>
      <c r="R109" s="3"/>
      <c r="S109" s="3"/>
      <c r="T109" s="2"/>
      <c r="U109" s="8">
        <f t="shared" si="7"/>
        <v>0</v>
      </c>
      <c r="V109" s="8"/>
      <c r="W109" s="8"/>
      <c r="X109" s="8"/>
      <c r="Y109" s="8"/>
      <c r="Z109" s="8"/>
      <c r="AA109" s="8"/>
      <c r="AB109" s="8"/>
      <c r="AC109" s="8">
        <f t="shared" si="8"/>
        <v>0</v>
      </c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>
        <v>52237415</v>
      </c>
      <c r="AZ109" s="8"/>
      <c r="BA109" s="8">
        <f>VLOOKUP(B109,[1]Hoja3!J$3:K$674,2,0)</f>
        <v>105765204</v>
      </c>
      <c r="BB109" s="8"/>
      <c r="BC109" s="8">
        <f t="shared" si="9"/>
        <v>158002619</v>
      </c>
      <c r="BD109" s="4">
        <v>52237415</v>
      </c>
      <c r="BE109" s="4">
        <f t="shared" si="10"/>
        <v>105765204</v>
      </c>
      <c r="BF109" s="30">
        <f t="shared" si="11"/>
        <v>158002619</v>
      </c>
      <c r="BG109" s="18">
        <f t="shared" si="12"/>
        <v>0</v>
      </c>
      <c r="BH109" s="23"/>
      <c r="BI109" s="23"/>
      <c r="BJ109" s="23"/>
    </row>
    <row r="110" spans="1:66" ht="15" customHeight="1" x14ac:dyDescent="0.2">
      <c r="A110" s="1">
        <v>8999990619</v>
      </c>
      <c r="B110" s="1">
        <v>899999061</v>
      </c>
      <c r="C110" s="15">
        <v>210111001</v>
      </c>
      <c r="D110" s="16" t="s">
        <v>2153</v>
      </c>
      <c r="E110" s="53" t="s">
        <v>1074</v>
      </c>
      <c r="F110" s="28"/>
      <c r="G110" s="2"/>
      <c r="H110" s="3"/>
      <c r="I110" s="2">
        <f>70000000000+33531727997+2041995958</f>
        <v>105573723955</v>
      </c>
      <c r="J110" s="29">
        <v>7437794702</v>
      </c>
      <c r="K110" s="3">
        <v>14741006808</v>
      </c>
      <c r="L110" s="2">
        <v>3721053169</v>
      </c>
      <c r="M110" s="43">
        <f>SUM(F110:L110)</f>
        <v>131473578634</v>
      </c>
      <c r="N110" s="3"/>
      <c r="O110" s="2"/>
      <c r="P110" s="3">
        <f>VLOOKUP(A110,'[3]PENS-CANC'!A$2:B$37,2,0)</f>
        <v>3721053169</v>
      </c>
      <c r="Q110" s="2">
        <f>70000000000+28722668017</f>
        <v>98722668017</v>
      </c>
      <c r="R110" s="3">
        <v>7282101335</v>
      </c>
      <c r="S110" s="3">
        <f>7303212106+7282101335</f>
        <v>14585313441</v>
      </c>
      <c r="T110" s="9"/>
      <c r="U110" s="8">
        <f t="shared" si="7"/>
        <v>255784714596</v>
      </c>
      <c r="V110" s="8"/>
      <c r="W110" s="8"/>
      <c r="X110" s="8"/>
      <c r="Y110" s="8">
        <f>158507372164+15672472000</f>
        <v>174179844164</v>
      </c>
      <c r="Z110" s="8">
        <v>8435242043</v>
      </c>
      <c r="AA110" s="8">
        <v>19542292837</v>
      </c>
      <c r="AB110" s="8">
        <v>3721053169</v>
      </c>
      <c r="AC110" s="8">
        <f t="shared" si="8"/>
        <v>461663146809</v>
      </c>
      <c r="AD110" s="8"/>
      <c r="AE110" s="8"/>
      <c r="AF110" s="8"/>
      <c r="AG110" s="8"/>
      <c r="AH110" s="8">
        <v>106690074683</v>
      </c>
      <c r="AI110" s="8">
        <v>7918991989</v>
      </c>
      <c r="AJ110" s="8">
        <v>8053573942</v>
      </c>
      <c r="AK110" s="8">
        <v>20275062264</v>
      </c>
      <c r="AL110" s="8">
        <v>3721053169</v>
      </c>
      <c r="AM110" s="8">
        <v>49271693614</v>
      </c>
      <c r="AN110" s="8">
        <f t="shared" ref="AN110:AN116" si="13">SUBTOTAL(9,AC110:AM110)</f>
        <v>657593596470</v>
      </c>
      <c r="AO110" s="8"/>
      <c r="AP110" s="8"/>
      <c r="AQ110" s="8">
        <v>13091567575</v>
      </c>
      <c r="AR110" s="8"/>
      <c r="AS110" s="8"/>
      <c r="AT110" s="8">
        <v>100690074683</v>
      </c>
      <c r="AU110" s="8"/>
      <c r="AV110" s="8">
        <v>5053573942</v>
      </c>
      <c r="AW110" s="8">
        <v>0</v>
      </c>
      <c r="AX110" s="8">
        <v>3721053169</v>
      </c>
      <c r="AY110" s="8"/>
      <c r="AZ110" s="8">
        <v>0</v>
      </c>
      <c r="BA110" s="8">
        <f>VLOOKUP(B110,[1]Hoja3!J$3:K$674,2,0)</f>
        <v>352417736</v>
      </c>
      <c r="BB110" s="8">
        <f>VLOOKUP(B110,'[2]anuladas en mayo gratuidad}'!K$2:L$55,2,0)</f>
        <v>1163256937</v>
      </c>
      <c r="BC110" s="8">
        <f t="shared" si="9"/>
        <v>779339026638</v>
      </c>
      <c r="BD110" s="4">
        <v>730878172225</v>
      </c>
      <c r="BE110" s="4">
        <f t="shared" si="10"/>
        <v>48460854413</v>
      </c>
      <c r="BF110" s="30">
        <f t="shared" si="11"/>
        <v>779339026638</v>
      </c>
      <c r="BG110" s="18">
        <f t="shared" si="12"/>
        <v>0</v>
      </c>
      <c r="BH110" s="23"/>
      <c r="BI110" s="23"/>
      <c r="BJ110" s="23"/>
    </row>
    <row r="111" spans="1:66" ht="15" customHeight="1" x14ac:dyDescent="0.2">
      <c r="A111" s="1">
        <v>8000946226</v>
      </c>
      <c r="B111" s="1">
        <v>800094622</v>
      </c>
      <c r="C111" s="15">
        <v>219925099</v>
      </c>
      <c r="D111" s="16" t="s">
        <v>467</v>
      </c>
      <c r="E111" s="41" t="s">
        <v>1494</v>
      </c>
      <c r="F111" s="28"/>
      <c r="G111" s="2"/>
      <c r="H111" s="3"/>
      <c r="I111" s="2"/>
      <c r="J111" s="29"/>
      <c r="K111" s="3"/>
      <c r="L111" s="2"/>
      <c r="M111" s="8"/>
      <c r="N111" s="3"/>
      <c r="O111" s="2"/>
      <c r="P111" s="3"/>
      <c r="Q111" s="2"/>
      <c r="R111" s="3"/>
      <c r="S111" s="3"/>
      <c r="T111" s="2"/>
      <c r="U111" s="8">
        <f t="shared" si="7"/>
        <v>0</v>
      </c>
      <c r="V111" s="8"/>
      <c r="W111" s="8"/>
      <c r="X111" s="8"/>
      <c r="Y111" s="8"/>
      <c r="Z111" s="8"/>
      <c r="AA111" s="8"/>
      <c r="AB111" s="8"/>
      <c r="AC111" s="8">
        <f t="shared" si="8"/>
        <v>0</v>
      </c>
      <c r="AD111" s="8"/>
      <c r="AE111" s="8"/>
      <c r="AF111" s="8"/>
      <c r="AG111" s="8"/>
      <c r="AH111" s="8"/>
      <c r="AI111" s="8"/>
      <c r="AJ111" s="8"/>
      <c r="AK111" s="8"/>
      <c r="AL111" s="8"/>
      <c r="AM111" s="8">
        <v>122058995</v>
      </c>
      <c r="AN111" s="8">
        <f t="shared" si="13"/>
        <v>122058995</v>
      </c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>
        <v>49923640</v>
      </c>
      <c r="AZ111" s="8"/>
      <c r="BA111" s="8"/>
      <c r="BB111" s="8"/>
      <c r="BC111" s="8">
        <f t="shared" si="9"/>
        <v>171982635</v>
      </c>
      <c r="BD111" s="4">
        <v>49923640</v>
      </c>
      <c r="BE111" s="4">
        <f t="shared" si="10"/>
        <v>122058995</v>
      </c>
      <c r="BF111" s="30">
        <f t="shared" si="11"/>
        <v>171982635</v>
      </c>
      <c r="BG111" s="18">
        <f t="shared" si="12"/>
        <v>0</v>
      </c>
      <c r="BH111" s="23"/>
      <c r="BI111" s="23"/>
      <c r="BJ111" s="23"/>
    </row>
    <row r="112" spans="1:66" ht="15" customHeight="1" x14ac:dyDescent="0.2">
      <c r="A112" s="1">
        <v>8000703758</v>
      </c>
      <c r="B112" s="1">
        <v>800070375</v>
      </c>
      <c r="C112" s="15">
        <v>219927099</v>
      </c>
      <c r="D112" s="16" t="s">
        <v>573</v>
      </c>
      <c r="E112" s="41" t="s">
        <v>1593</v>
      </c>
      <c r="F112" s="28"/>
      <c r="G112" s="2"/>
      <c r="H112" s="3"/>
      <c r="I112" s="2"/>
      <c r="J112" s="29"/>
      <c r="K112" s="3"/>
      <c r="L112" s="2"/>
      <c r="M112" s="8"/>
      <c r="N112" s="3"/>
      <c r="O112" s="2"/>
      <c r="P112" s="3"/>
      <c r="Q112" s="2"/>
      <c r="R112" s="3"/>
      <c r="S112" s="3"/>
      <c r="T112" s="2"/>
      <c r="U112" s="8">
        <f t="shared" si="7"/>
        <v>0</v>
      </c>
      <c r="V112" s="8"/>
      <c r="W112" s="8"/>
      <c r="X112" s="8"/>
      <c r="Y112" s="8"/>
      <c r="Z112" s="8"/>
      <c r="AA112" s="8"/>
      <c r="AB112" s="8"/>
      <c r="AC112" s="8">
        <f t="shared" si="8"/>
        <v>0</v>
      </c>
      <c r="AD112" s="8"/>
      <c r="AE112" s="8"/>
      <c r="AF112" s="8"/>
      <c r="AG112" s="8"/>
      <c r="AH112" s="8"/>
      <c r="AI112" s="8"/>
      <c r="AJ112" s="8"/>
      <c r="AK112" s="8"/>
      <c r="AL112" s="8"/>
      <c r="AM112" s="8">
        <v>136304932</v>
      </c>
      <c r="AN112" s="8">
        <f t="shared" si="13"/>
        <v>136304932</v>
      </c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>
        <v>269048685</v>
      </c>
      <c r="AZ112" s="8"/>
      <c r="BA112" s="8"/>
      <c r="BB112" s="8"/>
      <c r="BC112" s="8">
        <f t="shared" si="9"/>
        <v>405353617</v>
      </c>
      <c r="BD112" s="4">
        <v>269048685</v>
      </c>
      <c r="BE112" s="4">
        <f t="shared" si="10"/>
        <v>136304932</v>
      </c>
      <c r="BF112" s="30">
        <f t="shared" si="11"/>
        <v>405353617</v>
      </c>
      <c r="BG112" s="18">
        <f t="shared" si="12"/>
        <v>0</v>
      </c>
      <c r="BH112" s="23"/>
      <c r="BI112" s="23"/>
      <c r="BJ112" s="23"/>
    </row>
    <row r="113" spans="1:66" ht="15" customHeight="1" x14ac:dyDescent="0.2">
      <c r="A113" s="1">
        <v>8909803309</v>
      </c>
      <c r="B113" s="1">
        <v>890980330</v>
      </c>
      <c r="C113" s="15">
        <v>210105101</v>
      </c>
      <c r="D113" s="16" t="s">
        <v>62</v>
      </c>
      <c r="E113" s="41" t="s">
        <v>1093</v>
      </c>
      <c r="F113" s="28"/>
      <c r="G113" s="2"/>
      <c r="H113" s="3"/>
      <c r="I113" s="2"/>
      <c r="J113" s="29"/>
      <c r="K113" s="3"/>
      <c r="L113" s="2"/>
      <c r="M113" s="8"/>
      <c r="N113" s="3"/>
      <c r="O113" s="2"/>
      <c r="P113" s="3"/>
      <c r="Q113" s="2"/>
      <c r="R113" s="3"/>
      <c r="S113" s="3"/>
      <c r="T113" s="2"/>
      <c r="U113" s="8">
        <f t="shared" si="7"/>
        <v>0</v>
      </c>
      <c r="V113" s="8"/>
      <c r="W113" s="8"/>
      <c r="X113" s="8"/>
      <c r="Y113" s="8"/>
      <c r="Z113" s="8"/>
      <c r="AA113" s="8"/>
      <c r="AB113" s="8"/>
      <c r="AC113" s="8">
        <f t="shared" si="8"/>
        <v>0</v>
      </c>
      <c r="AD113" s="8"/>
      <c r="AE113" s="8"/>
      <c r="AF113" s="8"/>
      <c r="AG113" s="8"/>
      <c r="AH113" s="8"/>
      <c r="AI113" s="8"/>
      <c r="AJ113" s="8"/>
      <c r="AK113" s="8"/>
      <c r="AL113" s="8"/>
      <c r="AM113" s="8">
        <v>258616422</v>
      </c>
      <c r="AN113" s="8">
        <f t="shared" si="13"/>
        <v>258616422</v>
      </c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>
        <f>VLOOKUP(B113,[1]Hoja3!J$3:K$674,2,0)</f>
        <v>93472896</v>
      </c>
      <c r="BB113" s="8"/>
      <c r="BC113" s="8">
        <f t="shared" si="9"/>
        <v>352089318</v>
      </c>
      <c r="BD113" s="4"/>
      <c r="BE113" s="4">
        <f t="shared" si="10"/>
        <v>352089318</v>
      </c>
      <c r="BF113" s="30">
        <f t="shared" si="11"/>
        <v>352089318</v>
      </c>
      <c r="BG113" s="18">
        <f t="shared" si="12"/>
        <v>0</v>
      </c>
      <c r="BH113" s="23"/>
      <c r="BI113" s="23"/>
      <c r="BJ113" s="23"/>
    </row>
    <row r="114" spans="1:66" ht="15" customHeight="1" x14ac:dyDescent="0.2">
      <c r="A114" s="1">
        <v>8000959612</v>
      </c>
      <c r="B114" s="1">
        <v>800095961</v>
      </c>
      <c r="C114" s="15">
        <v>210019100</v>
      </c>
      <c r="D114" s="16" t="s">
        <v>376</v>
      </c>
      <c r="E114" s="41" t="s">
        <v>1408</v>
      </c>
      <c r="F114" s="28"/>
      <c r="G114" s="2"/>
      <c r="H114" s="3"/>
      <c r="I114" s="2"/>
      <c r="J114" s="29"/>
      <c r="K114" s="3"/>
      <c r="L114" s="2"/>
      <c r="M114" s="8"/>
      <c r="N114" s="3"/>
      <c r="O114" s="2"/>
      <c r="P114" s="3"/>
      <c r="Q114" s="2"/>
      <c r="R114" s="3"/>
      <c r="S114" s="3"/>
      <c r="T114" s="2"/>
      <c r="U114" s="8">
        <f t="shared" si="7"/>
        <v>0</v>
      </c>
      <c r="V114" s="8"/>
      <c r="W114" s="8"/>
      <c r="X114" s="8"/>
      <c r="Y114" s="8"/>
      <c r="Z114" s="8"/>
      <c r="AA114" s="8"/>
      <c r="AB114" s="8"/>
      <c r="AC114" s="8">
        <f t="shared" si="8"/>
        <v>0</v>
      </c>
      <c r="AD114" s="8"/>
      <c r="AE114" s="8"/>
      <c r="AF114" s="8"/>
      <c r="AG114" s="8"/>
      <c r="AH114" s="8"/>
      <c r="AI114" s="8"/>
      <c r="AJ114" s="8"/>
      <c r="AK114" s="8"/>
      <c r="AL114" s="8"/>
      <c r="AM114" s="8">
        <v>94866785</v>
      </c>
      <c r="AN114" s="8">
        <f t="shared" si="13"/>
        <v>94866785</v>
      </c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>
        <v>309818060</v>
      </c>
      <c r="AZ114" s="8"/>
      <c r="BA114" s="8">
        <f>VLOOKUP(B114,[1]Hoja3!J$3:K$674,2,0)</f>
        <v>415720118</v>
      </c>
      <c r="BB114" s="8"/>
      <c r="BC114" s="8">
        <f t="shared" si="9"/>
        <v>820404963</v>
      </c>
      <c r="BD114" s="4">
        <v>309818060</v>
      </c>
      <c r="BE114" s="4">
        <f t="shared" si="10"/>
        <v>510586903</v>
      </c>
      <c r="BF114" s="30">
        <f t="shared" si="11"/>
        <v>820404963</v>
      </c>
      <c r="BG114" s="18">
        <f t="shared" si="12"/>
        <v>0</v>
      </c>
      <c r="BH114" s="23"/>
      <c r="BI114" s="23"/>
      <c r="BJ114" s="23"/>
    </row>
    <row r="115" spans="1:66" ht="15" customHeight="1" x14ac:dyDescent="0.2">
      <c r="A115" s="1">
        <v>8902108909</v>
      </c>
      <c r="B115" s="1">
        <v>890210890</v>
      </c>
      <c r="C115" s="15">
        <v>210168101</v>
      </c>
      <c r="D115" s="16" t="s">
        <v>818</v>
      </c>
      <c r="E115" s="41" t="s">
        <v>1836</v>
      </c>
      <c r="F115" s="28"/>
      <c r="G115" s="2"/>
      <c r="H115" s="3"/>
      <c r="I115" s="2"/>
      <c r="J115" s="29"/>
      <c r="K115" s="3"/>
      <c r="L115" s="2"/>
      <c r="M115" s="8"/>
      <c r="N115" s="3"/>
      <c r="O115" s="2"/>
      <c r="P115" s="3"/>
      <c r="Q115" s="2"/>
      <c r="R115" s="3"/>
      <c r="S115" s="3"/>
      <c r="T115" s="2"/>
      <c r="U115" s="8">
        <f t="shared" si="7"/>
        <v>0</v>
      </c>
      <c r="V115" s="8"/>
      <c r="W115" s="8"/>
      <c r="X115" s="8"/>
      <c r="Y115" s="8"/>
      <c r="Z115" s="8"/>
      <c r="AA115" s="8"/>
      <c r="AB115" s="8"/>
      <c r="AC115" s="8">
        <f t="shared" si="8"/>
        <v>0</v>
      </c>
      <c r="AD115" s="8"/>
      <c r="AE115" s="8"/>
      <c r="AF115" s="8"/>
      <c r="AG115" s="8"/>
      <c r="AH115" s="8"/>
      <c r="AI115" s="8"/>
      <c r="AJ115" s="8"/>
      <c r="AK115" s="8"/>
      <c r="AL115" s="8"/>
      <c r="AM115" s="8">
        <v>30504314</v>
      </c>
      <c r="AN115" s="8">
        <f t="shared" si="13"/>
        <v>30504314</v>
      </c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>
        <v>99268380</v>
      </c>
      <c r="AZ115" s="8"/>
      <c r="BA115" s="8">
        <f>VLOOKUP(B115,[1]Hoja3!J$3:K$674,2,0)</f>
        <v>171928055</v>
      </c>
      <c r="BB115" s="8"/>
      <c r="BC115" s="8">
        <f t="shared" si="9"/>
        <v>301700749</v>
      </c>
      <c r="BD115" s="4">
        <v>99268380</v>
      </c>
      <c r="BE115" s="4">
        <f t="shared" si="10"/>
        <v>202432369</v>
      </c>
      <c r="BF115" s="30">
        <f t="shared" si="11"/>
        <v>301700749</v>
      </c>
      <c r="BG115" s="18">
        <f t="shared" si="12"/>
        <v>0</v>
      </c>
      <c r="BH115" s="23"/>
      <c r="BI115" s="23"/>
      <c r="BJ115" s="23"/>
    </row>
    <row r="116" spans="1:66" ht="15" customHeight="1" x14ac:dyDescent="0.2">
      <c r="A116" s="1">
        <v>8919009451</v>
      </c>
      <c r="B116" s="1">
        <v>891900945</v>
      </c>
      <c r="C116" s="15">
        <v>210076100</v>
      </c>
      <c r="D116" s="16" t="s">
        <v>916</v>
      </c>
      <c r="E116" s="41" t="s">
        <v>1978</v>
      </c>
      <c r="F116" s="28"/>
      <c r="G116" s="2"/>
      <c r="H116" s="3"/>
      <c r="I116" s="2"/>
      <c r="J116" s="29"/>
      <c r="K116" s="3"/>
      <c r="L116" s="2"/>
      <c r="M116" s="8"/>
      <c r="N116" s="3"/>
      <c r="O116" s="2"/>
      <c r="P116" s="3"/>
      <c r="Q116" s="2"/>
      <c r="R116" s="3"/>
      <c r="S116" s="3"/>
      <c r="T116" s="2"/>
      <c r="U116" s="8">
        <f t="shared" si="7"/>
        <v>0</v>
      </c>
      <c r="V116" s="8"/>
      <c r="W116" s="8"/>
      <c r="X116" s="8"/>
      <c r="Y116" s="8"/>
      <c r="Z116" s="8"/>
      <c r="AA116" s="8"/>
      <c r="AB116" s="8"/>
      <c r="AC116" s="8">
        <f t="shared" si="8"/>
        <v>0</v>
      </c>
      <c r="AD116" s="8"/>
      <c r="AE116" s="8"/>
      <c r="AF116" s="8"/>
      <c r="AG116" s="8"/>
      <c r="AH116" s="8"/>
      <c r="AI116" s="8"/>
      <c r="AJ116" s="8"/>
      <c r="AK116" s="8"/>
      <c r="AL116" s="8"/>
      <c r="AM116" s="8">
        <v>45238214</v>
      </c>
      <c r="AN116" s="8">
        <f t="shared" si="13"/>
        <v>45238214</v>
      </c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>
        <v>105499730</v>
      </c>
      <c r="AZ116" s="8"/>
      <c r="BA116" s="8">
        <f>VLOOKUP(B116,[1]Hoja3!J$3:K$674,2,0)</f>
        <v>176570369</v>
      </c>
      <c r="BB116" s="8"/>
      <c r="BC116" s="8">
        <f t="shared" si="9"/>
        <v>327308313</v>
      </c>
      <c r="BD116" s="4">
        <v>105499730</v>
      </c>
      <c r="BE116" s="4">
        <f t="shared" si="10"/>
        <v>221808583</v>
      </c>
      <c r="BF116" s="30">
        <f t="shared" si="11"/>
        <v>327308313</v>
      </c>
      <c r="BG116" s="18">
        <f t="shared" si="12"/>
        <v>0</v>
      </c>
      <c r="BH116" s="23"/>
      <c r="BI116" s="23"/>
      <c r="BJ116" s="23"/>
    </row>
    <row r="117" spans="1:66" ht="15" customHeight="1" x14ac:dyDescent="0.2">
      <c r="A117" s="1">
        <v>8923011308</v>
      </c>
      <c r="B117" s="1">
        <v>892301130</v>
      </c>
      <c r="C117" s="15">
        <v>216020060</v>
      </c>
      <c r="D117" s="16" t="s">
        <v>417</v>
      </c>
      <c r="E117" s="41" t="s">
        <v>1445</v>
      </c>
      <c r="F117" s="28"/>
      <c r="G117" s="2"/>
      <c r="H117" s="3"/>
      <c r="I117" s="2"/>
      <c r="J117" s="29"/>
      <c r="K117" s="3"/>
      <c r="L117" s="2"/>
      <c r="M117" s="8"/>
      <c r="N117" s="3"/>
      <c r="O117" s="2"/>
      <c r="P117" s="3"/>
      <c r="Q117" s="2"/>
      <c r="R117" s="3"/>
      <c r="S117" s="3"/>
      <c r="T117" s="2"/>
      <c r="U117" s="8">
        <f t="shared" si="7"/>
        <v>0</v>
      </c>
      <c r="V117" s="8"/>
      <c r="W117" s="8"/>
      <c r="X117" s="8"/>
      <c r="Y117" s="8"/>
      <c r="Z117" s="8"/>
      <c r="AA117" s="8"/>
      <c r="AB117" s="8"/>
      <c r="AC117" s="8">
        <f t="shared" si="8"/>
        <v>0</v>
      </c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>
        <v>402165935</v>
      </c>
      <c r="AZ117" s="8"/>
      <c r="BA117" s="8">
        <f>VLOOKUP(B117,[1]Hoja3!J$3:K$674,2,0)</f>
        <v>571816969</v>
      </c>
      <c r="BB117" s="8"/>
      <c r="BC117" s="8">
        <f t="shared" si="9"/>
        <v>973982904</v>
      </c>
      <c r="BD117" s="4">
        <v>402165935</v>
      </c>
      <c r="BE117" s="4">
        <f t="shared" si="10"/>
        <v>571816969</v>
      </c>
      <c r="BF117" s="30">
        <f t="shared" si="11"/>
        <v>973982904</v>
      </c>
      <c r="BG117" s="18">
        <f t="shared" si="12"/>
        <v>0</v>
      </c>
      <c r="BH117" s="23"/>
      <c r="BI117" s="23"/>
      <c r="BJ117" s="23"/>
    </row>
    <row r="118" spans="1:66" ht="15" customHeight="1" x14ac:dyDescent="0.2">
      <c r="A118" s="1">
        <v>8000233837</v>
      </c>
      <c r="B118" s="1">
        <v>800023383</v>
      </c>
      <c r="C118" s="15">
        <v>210415104</v>
      </c>
      <c r="D118" s="16" t="s">
        <v>225</v>
      </c>
      <c r="E118" s="41" t="s">
        <v>1260</v>
      </c>
      <c r="F118" s="28"/>
      <c r="G118" s="17"/>
      <c r="H118" s="3"/>
      <c r="I118" s="2"/>
      <c r="J118" s="29"/>
      <c r="K118" s="3"/>
      <c r="L118" s="17"/>
      <c r="M118" s="34"/>
      <c r="N118" s="3"/>
      <c r="O118" s="17"/>
      <c r="P118" s="3"/>
      <c r="Q118" s="2"/>
      <c r="R118" s="3"/>
      <c r="S118" s="3"/>
      <c r="T118" s="17"/>
      <c r="U118" s="8">
        <f t="shared" si="7"/>
        <v>0</v>
      </c>
      <c r="V118" s="8"/>
      <c r="W118" s="8"/>
      <c r="X118" s="8"/>
      <c r="Y118" s="8"/>
      <c r="Z118" s="8"/>
      <c r="AA118" s="8"/>
      <c r="AB118" s="8"/>
      <c r="AC118" s="8">
        <f t="shared" si="8"/>
        <v>0</v>
      </c>
      <c r="AD118" s="8"/>
      <c r="AE118" s="8"/>
      <c r="AF118" s="8"/>
      <c r="AG118" s="8"/>
      <c r="AH118" s="8"/>
      <c r="AI118" s="8"/>
      <c r="AJ118" s="8"/>
      <c r="AK118" s="8"/>
      <c r="AL118" s="8"/>
      <c r="AM118" s="8">
        <v>72578405</v>
      </c>
      <c r="AN118" s="8">
        <f t="shared" ref="AN118:AN125" si="14">SUBTOTAL(9,AC118:AM118)</f>
        <v>72578405</v>
      </c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>
        <v>39548360</v>
      </c>
      <c r="AZ118" s="8"/>
      <c r="BA118" s="8"/>
      <c r="BB118" s="8"/>
      <c r="BC118" s="8">
        <f t="shared" si="9"/>
        <v>112126765</v>
      </c>
      <c r="BD118" s="4">
        <v>39548360</v>
      </c>
      <c r="BE118" s="4">
        <f t="shared" si="10"/>
        <v>72578405</v>
      </c>
      <c r="BF118" s="30">
        <f t="shared" si="11"/>
        <v>112126765</v>
      </c>
      <c r="BG118" s="18">
        <f t="shared" si="12"/>
        <v>0</v>
      </c>
      <c r="BH118" s="23"/>
      <c r="BI118" s="23"/>
      <c r="BJ118" s="14"/>
      <c r="BK118" s="14"/>
      <c r="BL118" s="14"/>
      <c r="BM118" s="14"/>
      <c r="BN118" s="14"/>
    </row>
    <row r="119" spans="1:66" ht="15" customHeight="1" x14ac:dyDescent="0.2">
      <c r="A119" s="1">
        <v>8000997211</v>
      </c>
      <c r="B119" s="1">
        <v>800099721</v>
      </c>
      <c r="C119" s="15">
        <v>210615106</v>
      </c>
      <c r="D119" s="16" t="s">
        <v>2175</v>
      </c>
      <c r="E119" s="41" t="s">
        <v>1261</v>
      </c>
      <c r="F119" s="28"/>
      <c r="G119" s="17"/>
      <c r="H119" s="3"/>
      <c r="I119" s="2"/>
      <c r="J119" s="29"/>
      <c r="K119" s="3"/>
      <c r="L119" s="17"/>
      <c r="M119" s="34"/>
      <c r="N119" s="3"/>
      <c r="O119" s="17"/>
      <c r="P119" s="3"/>
      <c r="Q119" s="2"/>
      <c r="R119" s="3"/>
      <c r="S119" s="3"/>
      <c r="T119" s="17"/>
      <c r="U119" s="8">
        <f t="shared" si="7"/>
        <v>0</v>
      </c>
      <c r="V119" s="8"/>
      <c r="W119" s="8"/>
      <c r="X119" s="8"/>
      <c r="Y119" s="8"/>
      <c r="Z119" s="8"/>
      <c r="AA119" s="8"/>
      <c r="AB119" s="8"/>
      <c r="AC119" s="8">
        <f t="shared" si="8"/>
        <v>0</v>
      </c>
      <c r="AD119" s="8"/>
      <c r="AE119" s="8"/>
      <c r="AF119" s="8"/>
      <c r="AG119" s="8"/>
      <c r="AH119" s="8"/>
      <c r="AI119" s="8"/>
      <c r="AJ119" s="8"/>
      <c r="AK119" s="8"/>
      <c r="AL119" s="8"/>
      <c r="AM119" s="8">
        <v>33111065</v>
      </c>
      <c r="AN119" s="8">
        <f t="shared" si="14"/>
        <v>33111065</v>
      </c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>
        <v>18725645</v>
      </c>
      <c r="AZ119" s="8"/>
      <c r="BA119" s="8"/>
      <c r="BB119" s="8"/>
      <c r="BC119" s="8">
        <f t="shared" si="9"/>
        <v>51836710</v>
      </c>
      <c r="BD119" s="4">
        <v>18725645</v>
      </c>
      <c r="BE119" s="4">
        <f t="shared" si="10"/>
        <v>33111065</v>
      </c>
      <c r="BF119" s="30">
        <f t="shared" si="11"/>
        <v>51836710</v>
      </c>
      <c r="BG119" s="18">
        <f t="shared" si="12"/>
        <v>0</v>
      </c>
      <c r="BH119" s="23"/>
      <c r="BI119" s="23"/>
      <c r="BJ119" s="14"/>
      <c r="BK119" s="14"/>
      <c r="BL119" s="14"/>
      <c r="BM119" s="14"/>
      <c r="BN119" s="14"/>
    </row>
    <row r="120" spans="1:66" ht="15" customHeight="1" x14ac:dyDescent="0.2">
      <c r="A120" s="1">
        <v>8909844154</v>
      </c>
      <c r="B120" s="1">
        <v>890984415</v>
      </c>
      <c r="C120" s="15">
        <v>210705107</v>
      </c>
      <c r="D120" s="16" t="s">
        <v>63</v>
      </c>
      <c r="E120" s="41" t="s">
        <v>1094</v>
      </c>
      <c r="F120" s="28"/>
      <c r="G120" s="2"/>
      <c r="H120" s="3"/>
      <c r="I120" s="2"/>
      <c r="J120" s="29"/>
      <c r="K120" s="3"/>
      <c r="L120" s="2"/>
      <c r="M120" s="8"/>
      <c r="N120" s="3"/>
      <c r="O120" s="2"/>
      <c r="P120" s="3"/>
      <c r="Q120" s="2"/>
      <c r="R120" s="3"/>
      <c r="S120" s="3"/>
      <c r="T120" s="2"/>
      <c r="U120" s="8">
        <f t="shared" si="7"/>
        <v>0</v>
      </c>
      <c r="V120" s="8"/>
      <c r="W120" s="8"/>
      <c r="X120" s="8"/>
      <c r="Y120" s="8"/>
      <c r="Z120" s="8"/>
      <c r="AA120" s="8"/>
      <c r="AB120" s="8"/>
      <c r="AC120" s="8">
        <f t="shared" si="8"/>
        <v>0</v>
      </c>
      <c r="AD120" s="8"/>
      <c r="AE120" s="8"/>
      <c r="AF120" s="8"/>
      <c r="AG120" s="8"/>
      <c r="AH120" s="8"/>
      <c r="AI120" s="8"/>
      <c r="AJ120" s="8"/>
      <c r="AK120" s="8"/>
      <c r="AL120" s="8"/>
      <c r="AM120" s="8">
        <v>133974353</v>
      </c>
      <c r="AN120" s="8">
        <f t="shared" si="14"/>
        <v>133974353</v>
      </c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>
        <f t="shared" si="9"/>
        <v>133974353</v>
      </c>
      <c r="BD120" s="4"/>
      <c r="BE120" s="4">
        <f t="shared" si="10"/>
        <v>133974353</v>
      </c>
      <c r="BF120" s="30">
        <f t="shared" si="11"/>
        <v>133974353</v>
      </c>
      <c r="BG120" s="18">
        <f t="shared" si="12"/>
        <v>0</v>
      </c>
      <c r="BH120" s="23"/>
      <c r="BI120" s="23"/>
      <c r="BJ120" s="23"/>
    </row>
    <row r="121" spans="1:66" ht="15" customHeight="1" x14ac:dyDescent="0.2">
      <c r="A121" s="1">
        <v>8902012220</v>
      </c>
      <c r="B121" s="1">
        <v>890201222</v>
      </c>
      <c r="C121" s="15">
        <v>210168001</v>
      </c>
      <c r="D121" s="16" t="s">
        <v>2147</v>
      </c>
      <c r="E121" s="53" t="s">
        <v>2069</v>
      </c>
      <c r="F121" s="28"/>
      <c r="G121" s="17"/>
      <c r="H121" s="3"/>
      <c r="I121" s="2">
        <f>10654367133+200269694</f>
        <v>10854636827</v>
      </c>
      <c r="J121" s="29">
        <v>701659015</v>
      </c>
      <c r="K121" s="3">
        <v>1392482434</v>
      </c>
      <c r="L121" s="17"/>
      <c r="M121" s="7">
        <f>SUM(F121:L121)</f>
        <v>12948778276</v>
      </c>
      <c r="N121" s="3"/>
      <c r="O121" s="17"/>
      <c r="P121" s="3"/>
      <c r="Q121" s="2">
        <f>10154100266+91031679</f>
        <v>10245131945</v>
      </c>
      <c r="R121" s="3">
        <v>701789481</v>
      </c>
      <c r="S121" s="3">
        <f>690823419+701789481</f>
        <v>1392612900</v>
      </c>
      <c r="T121" s="17"/>
      <c r="U121" s="8">
        <f t="shared" si="7"/>
        <v>25288312602</v>
      </c>
      <c r="V121" s="8"/>
      <c r="W121" s="8"/>
      <c r="X121" s="8"/>
      <c r="Y121" s="8">
        <v>13492664710</v>
      </c>
      <c r="Z121" s="8">
        <v>729197028</v>
      </c>
      <c r="AA121" s="8">
        <v>1671820937</v>
      </c>
      <c r="AB121" s="8"/>
      <c r="AC121" s="8">
        <f t="shared" si="8"/>
        <v>41181995277</v>
      </c>
      <c r="AD121" s="8"/>
      <c r="AE121" s="8"/>
      <c r="AF121" s="8"/>
      <c r="AG121" s="8"/>
      <c r="AH121" s="8">
        <v>10155711788</v>
      </c>
      <c r="AI121" s="8">
        <v>1022541936</v>
      </c>
      <c r="AJ121" s="8">
        <v>726041310</v>
      </c>
      <c r="AK121" s="8">
        <v>1829351048</v>
      </c>
      <c r="AL121" s="8"/>
      <c r="AM121" s="8">
        <v>4362392096</v>
      </c>
      <c r="AN121" s="8">
        <f t="shared" si="14"/>
        <v>59278033455</v>
      </c>
      <c r="AO121" s="8"/>
      <c r="AP121" s="8"/>
      <c r="AQ121" s="8">
        <v>1779331845</v>
      </c>
      <c r="AR121" s="8"/>
      <c r="AS121" s="8"/>
      <c r="AT121" s="8">
        <v>10155711788</v>
      </c>
      <c r="AU121" s="8"/>
      <c r="AV121" s="8">
        <v>726041310</v>
      </c>
      <c r="AW121" s="8">
        <v>1238921810</v>
      </c>
      <c r="AX121" s="8"/>
      <c r="AY121" s="8"/>
      <c r="AZ121" s="8"/>
      <c r="BA121" s="8"/>
      <c r="BB121" s="8">
        <f>VLOOKUP(B121,'[2]anuladas en mayo gratuidad}'!K$2:L$55,2,0)</f>
        <v>51816572</v>
      </c>
      <c r="BC121" s="8">
        <f t="shared" si="9"/>
        <v>73126223636</v>
      </c>
      <c r="BD121" s="4">
        <v>68815648112</v>
      </c>
      <c r="BE121" s="4">
        <f t="shared" si="10"/>
        <v>4310575524</v>
      </c>
      <c r="BF121" s="30">
        <f t="shared" si="11"/>
        <v>73126223636</v>
      </c>
      <c r="BG121" s="18">
        <f t="shared" si="12"/>
        <v>0</v>
      </c>
      <c r="BH121" s="23"/>
      <c r="BI121" s="23"/>
      <c r="BJ121" s="14"/>
      <c r="BK121" s="14"/>
      <c r="BL121" s="14"/>
      <c r="BM121" s="14"/>
      <c r="BN121" s="14"/>
    </row>
    <row r="122" spans="1:66" ht="15" customHeight="1" x14ac:dyDescent="0.2">
      <c r="A122" s="1">
        <v>8905034832</v>
      </c>
      <c r="B122" s="1">
        <v>890503483</v>
      </c>
      <c r="C122" s="15">
        <v>210954109</v>
      </c>
      <c r="D122" s="16" t="s">
        <v>754</v>
      </c>
      <c r="E122" s="41" t="s">
        <v>2087</v>
      </c>
      <c r="F122" s="28"/>
      <c r="G122" s="2"/>
      <c r="H122" s="3"/>
      <c r="I122" s="2"/>
      <c r="J122" s="29"/>
      <c r="K122" s="3"/>
      <c r="L122" s="2"/>
      <c r="M122" s="8"/>
      <c r="N122" s="3"/>
      <c r="O122" s="2"/>
      <c r="P122" s="3"/>
      <c r="Q122" s="2"/>
      <c r="R122" s="3"/>
      <c r="S122" s="3"/>
      <c r="T122" s="2"/>
      <c r="U122" s="8">
        <f t="shared" si="7"/>
        <v>0</v>
      </c>
      <c r="V122" s="8"/>
      <c r="W122" s="8"/>
      <c r="X122" s="8"/>
      <c r="Y122" s="8"/>
      <c r="Z122" s="8"/>
      <c r="AA122" s="8"/>
      <c r="AB122" s="8"/>
      <c r="AC122" s="8">
        <f t="shared" si="8"/>
        <v>0</v>
      </c>
      <c r="AD122" s="8"/>
      <c r="AE122" s="8"/>
      <c r="AF122" s="8"/>
      <c r="AG122" s="8"/>
      <c r="AH122" s="8"/>
      <c r="AI122" s="8"/>
      <c r="AJ122" s="8"/>
      <c r="AK122" s="8"/>
      <c r="AL122" s="8"/>
      <c r="AM122" s="8">
        <v>48722355</v>
      </c>
      <c r="AN122" s="8">
        <f t="shared" si="14"/>
        <v>48722355</v>
      </c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>
        <v>57171140</v>
      </c>
      <c r="AZ122" s="8"/>
      <c r="BA122" s="8">
        <f>VLOOKUP(B122,[1]Hoja3!J$3:K$674,2,0)</f>
        <v>44841724</v>
      </c>
      <c r="BB122" s="8"/>
      <c r="BC122" s="8">
        <f t="shared" si="9"/>
        <v>150735219</v>
      </c>
      <c r="BD122" s="4">
        <v>57171140</v>
      </c>
      <c r="BE122" s="4">
        <f t="shared" si="10"/>
        <v>93564079</v>
      </c>
      <c r="BF122" s="30">
        <f t="shared" si="11"/>
        <v>150735219</v>
      </c>
      <c r="BG122" s="18">
        <f t="shared" si="12"/>
        <v>0</v>
      </c>
      <c r="BH122" s="23"/>
      <c r="BI122" s="23"/>
      <c r="BJ122" s="23"/>
    </row>
    <row r="123" spans="1:66" ht="15" customHeight="1" x14ac:dyDescent="0.2">
      <c r="A123" s="67">
        <v>8903990453</v>
      </c>
      <c r="B123" s="1">
        <v>890399045</v>
      </c>
      <c r="C123" s="15">
        <v>210976109</v>
      </c>
      <c r="D123" s="16" t="s">
        <v>2148</v>
      </c>
      <c r="E123" s="53" t="s">
        <v>1039</v>
      </c>
      <c r="F123" s="28"/>
      <c r="G123" s="2"/>
      <c r="H123" s="3"/>
      <c r="I123" s="2">
        <f>7317568150+90430638</f>
        <v>7407998788</v>
      </c>
      <c r="J123" s="29">
        <v>524434059</v>
      </c>
      <c r="K123" s="3">
        <v>1060806477</v>
      </c>
      <c r="L123" s="2"/>
      <c r="M123" s="37">
        <f>SUM(F123:L123)</f>
        <v>8993239324</v>
      </c>
      <c r="N123" s="3"/>
      <c r="O123" s="2"/>
      <c r="P123" s="3"/>
      <c r="Q123" s="2">
        <f>7299468112+41104835</f>
        <v>7340572947</v>
      </c>
      <c r="R123" s="3">
        <v>524434059</v>
      </c>
      <c r="S123" s="3">
        <f>536372418+524434059</f>
        <v>1060806477</v>
      </c>
      <c r="T123" s="2"/>
      <c r="U123" s="8">
        <f t="shared" si="7"/>
        <v>17919052807</v>
      </c>
      <c r="V123" s="8"/>
      <c r="W123" s="8"/>
      <c r="X123" s="8"/>
      <c r="Y123" s="8">
        <v>11614882428</v>
      </c>
      <c r="Z123" s="8">
        <v>436599799</v>
      </c>
      <c r="AA123" s="8">
        <v>1022372198</v>
      </c>
      <c r="AB123" s="8"/>
      <c r="AC123" s="8">
        <f t="shared" si="8"/>
        <v>30992907232</v>
      </c>
      <c r="AD123" s="8"/>
      <c r="AE123" s="8"/>
      <c r="AF123" s="8"/>
      <c r="AG123" s="8"/>
      <c r="AH123" s="8">
        <v>8762979020</v>
      </c>
      <c r="AI123" s="8">
        <v>2714132050</v>
      </c>
      <c r="AJ123" s="8">
        <v>511799607</v>
      </c>
      <c r="AK123" s="8">
        <v>1295164196</v>
      </c>
      <c r="AL123" s="8"/>
      <c r="AM123" s="8">
        <v>3585559813</v>
      </c>
      <c r="AN123" s="8">
        <f t="shared" si="14"/>
        <v>47862541918</v>
      </c>
      <c r="AO123" s="8"/>
      <c r="AP123" s="8"/>
      <c r="AQ123" s="8">
        <v>0</v>
      </c>
      <c r="AR123" s="8"/>
      <c r="AS123" s="8"/>
      <c r="AT123" s="8">
        <v>8762979020</v>
      </c>
      <c r="AU123" s="8">
        <v>10679000000</v>
      </c>
      <c r="AV123" s="8">
        <v>511799607</v>
      </c>
      <c r="AW123" s="8">
        <v>878499034</v>
      </c>
      <c r="AX123" s="8"/>
      <c r="AY123" s="8"/>
      <c r="AZ123" s="8"/>
      <c r="BA123" s="8">
        <f>VLOOKUP(B123,[1]Hoja3!J$3:K$674,2,0)</f>
        <v>134256843</v>
      </c>
      <c r="BB123" s="8"/>
      <c r="BC123" s="8">
        <f t="shared" si="9"/>
        <v>68829076422</v>
      </c>
      <c r="BD123" s="4">
        <v>65109259766</v>
      </c>
      <c r="BE123" s="4">
        <f t="shared" si="10"/>
        <v>3719816656</v>
      </c>
      <c r="BF123" s="30">
        <f t="shared" si="11"/>
        <v>68829076422</v>
      </c>
      <c r="BG123" s="18">
        <f t="shared" si="12"/>
        <v>0</v>
      </c>
      <c r="BH123" s="23"/>
      <c r="BI123" s="23"/>
      <c r="BJ123" s="23"/>
    </row>
    <row r="124" spans="1:66" ht="15" customHeight="1" x14ac:dyDescent="0.2">
      <c r="A124" s="1">
        <v>8918082600</v>
      </c>
      <c r="B124" s="1">
        <v>891808260</v>
      </c>
      <c r="C124" s="15">
        <v>210915109</v>
      </c>
      <c r="D124" s="16" t="s">
        <v>226</v>
      </c>
      <c r="E124" s="41" t="s">
        <v>1262</v>
      </c>
      <c r="F124" s="28"/>
      <c r="G124" s="2"/>
      <c r="H124" s="3"/>
      <c r="I124" s="2"/>
      <c r="J124" s="29"/>
      <c r="K124" s="3"/>
      <c r="L124" s="2"/>
      <c r="M124" s="8"/>
      <c r="N124" s="3"/>
      <c r="O124" s="2"/>
      <c r="P124" s="3"/>
      <c r="Q124" s="2"/>
      <c r="R124" s="3"/>
      <c r="S124" s="3"/>
      <c r="T124" s="2"/>
      <c r="U124" s="8">
        <f t="shared" si="7"/>
        <v>0</v>
      </c>
      <c r="V124" s="8"/>
      <c r="W124" s="8"/>
      <c r="X124" s="8"/>
      <c r="Y124" s="8"/>
      <c r="Z124" s="8"/>
      <c r="AA124" s="8"/>
      <c r="AB124" s="8"/>
      <c r="AC124" s="8">
        <f t="shared" si="8"/>
        <v>0</v>
      </c>
      <c r="AD124" s="8"/>
      <c r="AE124" s="8"/>
      <c r="AF124" s="8"/>
      <c r="AG124" s="8"/>
      <c r="AH124" s="8"/>
      <c r="AI124" s="8"/>
      <c r="AJ124" s="8"/>
      <c r="AK124" s="8"/>
      <c r="AL124" s="8"/>
      <c r="AM124" s="8">
        <v>75633318</v>
      </c>
      <c r="AN124" s="8">
        <f t="shared" si="14"/>
        <v>75633318</v>
      </c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>
        <v>41004080</v>
      </c>
      <c r="AZ124" s="8"/>
      <c r="BA124" s="8"/>
      <c r="BB124" s="8"/>
      <c r="BC124" s="8">
        <f t="shared" si="9"/>
        <v>116637398</v>
      </c>
      <c r="BD124" s="4">
        <v>41004080</v>
      </c>
      <c r="BE124" s="4">
        <f t="shared" si="10"/>
        <v>75633318</v>
      </c>
      <c r="BF124" s="30">
        <f t="shared" si="11"/>
        <v>116637398</v>
      </c>
      <c r="BG124" s="18">
        <f t="shared" si="12"/>
        <v>0</v>
      </c>
      <c r="BH124" s="23"/>
      <c r="BI124" s="23"/>
      <c r="BJ124" s="23"/>
    </row>
    <row r="125" spans="1:66" ht="15" customHeight="1" x14ac:dyDescent="0.2">
      <c r="A125" s="1">
        <v>8000967398</v>
      </c>
      <c r="B125" s="1">
        <v>800096739</v>
      </c>
      <c r="C125" s="15">
        <v>217923079</v>
      </c>
      <c r="D125" s="16" t="s">
        <v>438</v>
      </c>
      <c r="E125" s="41" t="s">
        <v>1465</v>
      </c>
      <c r="F125" s="28"/>
      <c r="G125" s="2"/>
      <c r="H125" s="3"/>
      <c r="I125" s="2"/>
      <c r="J125" s="29"/>
      <c r="K125" s="3"/>
      <c r="L125" s="2"/>
      <c r="M125" s="8"/>
      <c r="N125" s="3"/>
      <c r="O125" s="2"/>
      <c r="P125" s="3"/>
      <c r="Q125" s="2"/>
      <c r="R125" s="3"/>
      <c r="S125" s="3"/>
      <c r="T125" s="2"/>
      <c r="U125" s="8">
        <f t="shared" si="7"/>
        <v>0</v>
      </c>
      <c r="V125" s="8"/>
      <c r="W125" s="8"/>
      <c r="X125" s="8"/>
      <c r="Y125" s="8"/>
      <c r="Z125" s="8"/>
      <c r="AA125" s="8"/>
      <c r="AB125" s="8"/>
      <c r="AC125" s="8">
        <f t="shared" si="8"/>
        <v>0</v>
      </c>
      <c r="AD125" s="8"/>
      <c r="AE125" s="8"/>
      <c r="AF125" s="8"/>
      <c r="AG125" s="8"/>
      <c r="AH125" s="8"/>
      <c r="AI125" s="8"/>
      <c r="AJ125" s="8"/>
      <c r="AK125" s="8"/>
      <c r="AL125" s="8"/>
      <c r="AM125" s="8">
        <v>255521489</v>
      </c>
      <c r="AN125" s="8">
        <f t="shared" si="14"/>
        <v>255521489</v>
      </c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>
        <v>259165470</v>
      </c>
      <c r="AZ125" s="8"/>
      <c r="BA125" s="8"/>
      <c r="BB125" s="8"/>
      <c r="BC125" s="8">
        <f t="shared" si="9"/>
        <v>514686959</v>
      </c>
      <c r="BD125" s="4">
        <v>259165470</v>
      </c>
      <c r="BE125" s="4">
        <f t="shared" si="10"/>
        <v>255521489</v>
      </c>
      <c r="BF125" s="30">
        <f t="shared" si="11"/>
        <v>514686959</v>
      </c>
      <c r="BG125" s="18">
        <f t="shared" si="12"/>
        <v>0</v>
      </c>
      <c r="BH125" s="23"/>
      <c r="BI125" s="23"/>
      <c r="BJ125" s="23"/>
    </row>
    <row r="126" spans="1:66" ht="15" customHeight="1" x14ac:dyDescent="0.2">
      <c r="A126" s="1">
        <v>8900018790</v>
      </c>
      <c r="B126" s="1">
        <v>890001879</v>
      </c>
      <c r="C126" s="15">
        <v>211163111</v>
      </c>
      <c r="D126" s="16" t="s">
        <v>789</v>
      </c>
      <c r="E126" s="41" t="s">
        <v>1807</v>
      </c>
      <c r="F126" s="28"/>
      <c r="G126" s="17"/>
      <c r="H126" s="3"/>
      <c r="I126" s="2"/>
      <c r="J126" s="29"/>
      <c r="K126" s="3"/>
      <c r="L126" s="17"/>
      <c r="M126" s="34"/>
      <c r="N126" s="3"/>
      <c r="O126" s="17"/>
      <c r="P126" s="3"/>
      <c r="Q126" s="2"/>
      <c r="R126" s="3"/>
      <c r="S126" s="3"/>
      <c r="T126" s="17"/>
      <c r="U126" s="8">
        <f t="shared" si="7"/>
        <v>0</v>
      </c>
      <c r="V126" s="8"/>
      <c r="W126" s="8"/>
      <c r="X126" s="8"/>
      <c r="Y126" s="8"/>
      <c r="Z126" s="8"/>
      <c r="AA126" s="8"/>
      <c r="AB126" s="8"/>
      <c r="AC126" s="8">
        <f t="shared" si="8"/>
        <v>0</v>
      </c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>
        <v>23594850</v>
      </c>
      <c r="AZ126" s="8"/>
      <c r="BA126" s="8">
        <f>VLOOKUP(B126,[1]Hoja3!J$3:K$674,2,0)</f>
        <v>41945957</v>
      </c>
      <c r="BB126" s="8"/>
      <c r="BC126" s="8">
        <f t="shared" si="9"/>
        <v>65540807</v>
      </c>
      <c r="BD126" s="4">
        <v>23594850</v>
      </c>
      <c r="BE126" s="4">
        <f t="shared" si="10"/>
        <v>41945957</v>
      </c>
      <c r="BF126" s="30">
        <f t="shared" si="11"/>
        <v>65540807</v>
      </c>
      <c r="BG126" s="18">
        <f t="shared" si="12"/>
        <v>0</v>
      </c>
      <c r="BH126" s="23"/>
      <c r="BI126" s="23"/>
      <c r="BJ126" s="14"/>
      <c r="BK126" s="14"/>
      <c r="BL126" s="14"/>
      <c r="BM126" s="14"/>
      <c r="BN126" s="14"/>
    </row>
    <row r="127" spans="1:66" ht="15" customHeight="1" x14ac:dyDescent="0.2">
      <c r="A127" s="1">
        <v>8922012869</v>
      </c>
      <c r="B127" s="1">
        <v>892201286</v>
      </c>
      <c r="C127" s="15">
        <v>211070110</v>
      </c>
      <c r="D127" s="16" t="s">
        <v>890</v>
      </c>
      <c r="E127" s="41" t="s">
        <v>1904</v>
      </c>
      <c r="F127" s="28"/>
      <c r="G127" s="17"/>
      <c r="H127" s="3"/>
      <c r="I127" s="2"/>
      <c r="J127" s="29"/>
      <c r="K127" s="3"/>
      <c r="L127" s="17"/>
      <c r="M127" s="34"/>
      <c r="N127" s="3"/>
      <c r="O127" s="17"/>
      <c r="P127" s="3"/>
      <c r="Q127" s="2"/>
      <c r="R127" s="3"/>
      <c r="S127" s="3"/>
      <c r="T127" s="17"/>
      <c r="U127" s="8">
        <f t="shared" si="7"/>
        <v>0</v>
      </c>
      <c r="V127" s="8"/>
      <c r="W127" s="8"/>
      <c r="X127" s="8"/>
      <c r="Y127" s="8"/>
      <c r="Z127" s="8"/>
      <c r="AA127" s="8"/>
      <c r="AB127" s="8"/>
      <c r="AC127" s="8">
        <f t="shared" si="8"/>
        <v>0</v>
      </c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>
        <f>VLOOKUP(B127,[1]Hoja3!J$3:K$674,2,0)</f>
        <v>147427508</v>
      </c>
      <c r="BB127" s="8"/>
      <c r="BC127" s="8">
        <f t="shared" si="9"/>
        <v>147427508</v>
      </c>
      <c r="BD127" s="4"/>
      <c r="BE127" s="4">
        <f t="shared" si="10"/>
        <v>147427508</v>
      </c>
      <c r="BF127" s="30">
        <f t="shared" si="11"/>
        <v>147427508</v>
      </c>
      <c r="BG127" s="18">
        <f t="shared" si="12"/>
        <v>0</v>
      </c>
      <c r="BH127" s="23"/>
      <c r="BI127" s="23"/>
      <c r="BJ127" s="14"/>
      <c r="BK127" s="14"/>
      <c r="BL127" s="14"/>
      <c r="BM127" s="14"/>
      <c r="BN127" s="14"/>
    </row>
    <row r="128" spans="1:66" ht="15" customHeight="1" x14ac:dyDescent="0.2">
      <c r="A128" s="1">
        <v>8915023073</v>
      </c>
      <c r="B128" s="1">
        <v>891502307</v>
      </c>
      <c r="C128" s="15">
        <v>211019110</v>
      </c>
      <c r="D128" s="16" t="s">
        <v>377</v>
      </c>
      <c r="E128" s="41" t="s">
        <v>1409</v>
      </c>
      <c r="F128" s="28"/>
      <c r="G128" s="2"/>
      <c r="H128" s="3"/>
      <c r="I128" s="2"/>
      <c r="J128" s="29"/>
      <c r="K128" s="3"/>
      <c r="L128" s="2"/>
      <c r="M128" s="8"/>
      <c r="N128" s="3"/>
      <c r="O128" s="2"/>
      <c r="P128" s="3"/>
      <c r="Q128" s="2"/>
      <c r="R128" s="3"/>
      <c r="S128" s="3"/>
      <c r="T128" s="2"/>
      <c r="U128" s="8">
        <f t="shared" si="7"/>
        <v>0</v>
      </c>
      <c r="V128" s="8"/>
      <c r="W128" s="8"/>
      <c r="X128" s="8"/>
      <c r="Y128" s="8"/>
      <c r="Z128" s="8"/>
      <c r="AA128" s="8"/>
      <c r="AB128" s="8"/>
      <c r="AC128" s="8">
        <f t="shared" si="8"/>
        <v>0</v>
      </c>
      <c r="AD128" s="8"/>
      <c r="AE128" s="8"/>
      <c r="AF128" s="8"/>
      <c r="AG128" s="8"/>
      <c r="AH128" s="8"/>
      <c r="AI128" s="8"/>
      <c r="AJ128" s="8"/>
      <c r="AK128" s="8"/>
      <c r="AL128" s="8"/>
      <c r="AM128" s="8">
        <v>156127387</v>
      </c>
      <c r="AN128" s="8">
        <f>SUBTOTAL(9,AC128:AM128)</f>
        <v>156127387</v>
      </c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>
        <f>VLOOKUP(B128,[1]Hoja3!J$3:K$674,2,0)</f>
        <v>221410174</v>
      </c>
      <c r="BB128" s="8"/>
      <c r="BC128" s="8">
        <f t="shared" si="9"/>
        <v>377537561</v>
      </c>
      <c r="BD128" s="4"/>
      <c r="BE128" s="4">
        <f t="shared" si="10"/>
        <v>377537561</v>
      </c>
      <c r="BF128" s="30">
        <f t="shared" si="11"/>
        <v>377537561</v>
      </c>
      <c r="BG128" s="18">
        <f t="shared" si="12"/>
        <v>0</v>
      </c>
      <c r="BH128" s="23"/>
      <c r="BI128" s="23"/>
      <c r="BJ128" s="23"/>
    </row>
    <row r="129" spans="1:66" ht="15" customHeight="1" x14ac:dyDescent="0.2">
      <c r="A129" s="1">
        <v>8000990624</v>
      </c>
      <c r="B129" s="1">
        <v>800099062</v>
      </c>
      <c r="C129" s="15">
        <v>211052110</v>
      </c>
      <c r="D129" s="16" t="s">
        <v>698</v>
      </c>
      <c r="E129" s="41" t="s">
        <v>1721</v>
      </c>
      <c r="F129" s="28"/>
      <c r="G129" s="2"/>
      <c r="H129" s="3"/>
      <c r="I129" s="2"/>
      <c r="J129" s="29"/>
      <c r="K129" s="3"/>
      <c r="L129" s="2"/>
      <c r="M129" s="8"/>
      <c r="N129" s="3"/>
      <c r="O129" s="2"/>
      <c r="P129" s="3"/>
      <c r="Q129" s="2"/>
      <c r="R129" s="3"/>
      <c r="S129" s="3"/>
      <c r="T129" s="2"/>
      <c r="U129" s="8">
        <f t="shared" si="7"/>
        <v>0</v>
      </c>
      <c r="V129" s="8"/>
      <c r="W129" s="8"/>
      <c r="X129" s="8"/>
      <c r="Y129" s="8"/>
      <c r="Z129" s="8"/>
      <c r="AA129" s="8"/>
      <c r="AB129" s="8"/>
      <c r="AC129" s="8">
        <f t="shared" si="8"/>
        <v>0</v>
      </c>
      <c r="AD129" s="8"/>
      <c r="AE129" s="8"/>
      <c r="AF129" s="8"/>
      <c r="AG129" s="8"/>
      <c r="AH129" s="8"/>
      <c r="AI129" s="8"/>
      <c r="AJ129" s="8"/>
      <c r="AK129" s="8"/>
      <c r="AL129" s="8"/>
      <c r="AM129" s="8">
        <v>65035840</v>
      </c>
      <c r="AN129" s="8">
        <f>SUBTOTAL(9,AC129:AM129)</f>
        <v>65035840</v>
      </c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>
        <v>149116070</v>
      </c>
      <c r="AZ129" s="8"/>
      <c r="BA129" s="8">
        <f>VLOOKUP(B129,[1]Hoja3!J$3:K$674,2,0)</f>
        <v>237667146</v>
      </c>
      <c r="BB129" s="8"/>
      <c r="BC129" s="8">
        <f t="shared" si="9"/>
        <v>451819056</v>
      </c>
      <c r="BD129" s="4">
        <v>149116070</v>
      </c>
      <c r="BE129" s="4">
        <f t="shared" si="10"/>
        <v>302702986</v>
      </c>
      <c r="BF129" s="30">
        <f t="shared" si="11"/>
        <v>451819056</v>
      </c>
      <c r="BG129" s="18">
        <f t="shared" si="12"/>
        <v>0</v>
      </c>
      <c r="BH129" s="23"/>
      <c r="BI129" s="23"/>
      <c r="BJ129" s="23"/>
    </row>
    <row r="130" spans="1:66" ht="15" customHeight="1" x14ac:dyDescent="0.2">
      <c r="A130" s="1">
        <v>8913800335</v>
      </c>
      <c r="B130" s="1">
        <v>891380033</v>
      </c>
      <c r="C130" s="15">
        <v>211176111</v>
      </c>
      <c r="D130" s="16" t="s">
        <v>2149</v>
      </c>
      <c r="E130" s="53" t="s">
        <v>1055</v>
      </c>
      <c r="F130" s="28"/>
      <c r="G130" s="2"/>
      <c r="H130" s="3"/>
      <c r="I130" s="2">
        <f>2623247421+75628052</f>
        <v>2698875473</v>
      </c>
      <c r="J130" s="29">
        <v>179051312</v>
      </c>
      <c r="K130" s="3">
        <v>356264469</v>
      </c>
      <c r="L130" s="2"/>
      <c r="M130" s="37">
        <f>SUM(F130:L130)</f>
        <v>3234191254</v>
      </c>
      <c r="N130" s="3"/>
      <c r="O130" s="2"/>
      <c r="P130" s="3"/>
      <c r="Q130" s="2">
        <f>2551419325+34376387</f>
        <v>2585795712</v>
      </c>
      <c r="R130" s="3">
        <v>179391809</v>
      </c>
      <c r="S130" s="3">
        <f>177213157+179391809</f>
        <v>356604966</v>
      </c>
      <c r="T130" s="2"/>
      <c r="U130" s="8">
        <f t="shared" si="7"/>
        <v>6355983741</v>
      </c>
      <c r="V130" s="8"/>
      <c r="W130" s="8"/>
      <c r="X130" s="8"/>
      <c r="Y130" s="8">
        <v>3426216899</v>
      </c>
      <c r="Z130" s="8">
        <v>167210941</v>
      </c>
      <c r="AA130" s="8">
        <v>392281442</v>
      </c>
      <c r="AB130" s="8"/>
      <c r="AC130" s="8">
        <f t="shared" si="8"/>
        <v>10341693023</v>
      </c>
      <c r="AD130" s="8"/>
      <c r="AE130" s="8"/>
      <c r="AF130" s="8"/>
      <c r="AG130" s="8"/>
      <c r="AH130" s="8">
        <v>2819567575</v>
      </c>
      <c r="AI130" s="8">
        <v>404658018</v>
      </c>
      <c r="AJ130" s="8">
        <v>181239943</v>
      </c>
      <c r="AK130" s="8">
        <v>457047735</v>
      </c>
      <c r="AL130" s="8"/>
      <c r="AM130" s="8">
        <v>1247103985</v>
      </c>
      <c r="AN130" s="8">
        <f>SUBTOTAL(9,AC130:AM130)</f>
        <v>15451310279</v>
      </c>
      <c r="AO130" s="8"/>
      <c r="AP130" s="8"/>
      <c r="AQ130" s="8">
        <v>418264415</v>
      </c>
      <c r="AR130" s="8"/>
      <c r="AS130" s="8"/>
      <c r="AT130" s="8">
        <v>2819567575</v>
      </c>
      <c r="AU130" s="8"/>
      <c r="AV130" s="8">
        <v>181239943</v>
      </c>
      <c r="AW130" s="8">
        <v>309696427</v>
      </c>
      <c r="AX130" s="8"/>
      <c r="AY130" s="8"/>
      <c r="AZ130" s="8">
        <v>430270668</v>
      </c>
      <c r="BA130" s="8"/>
      <c r="BB130" s="8"/>
      <c r="BC130" s="8">
        <f t="shared" si="9"/>
        <v>19610349307</v>
      </c>
      <c r="BD130" s="4">
        <v>18363245322</v>
      </c>
      <c r="BE130" s="4">
        <f t="shared" si="10"/>
        <v>1247103985</v>
      </c>
      <c r="BF130" s="30">
        <f t="shared" si="11"/>
        <v>19610349307</v>
      </c>
      <c r="BG130" s="18">
        <f t="shared" si="12"/>
        <v>0</v>
      </c>
      <c r="BH130" s="23"/>
      <c r="BI130" s="23"/>
      <c r="BJ130" s="23"/>
    </row>
    <row r="131" spans="1:66" ht="15" customHeight="1" x14ac:dyDescent="0.2">
      <c r="A131" s="1">
        <v>8919003531</v>
      </c>
      <c r="B131" s="1">
        <v>891900353</v>
      </c>
      <c r="C131" s="15">
        <v>211376113</v>
      </c>
      <c r="D131" s="16" t="s">
        <v>917</v>
      </c>
      <c r="E131" s="41" t="s">
        <v>1979</v>
      </c>
      <c r="F131" s="28"/>
      <c r="G131" s="2"/>
      <c r="H131" s="3"/>
      <c r="I131" s="2"/>
      <c r="J131" s="29"/>
      <c r="K131" s="3"/>
      <c r="L131" s="2"/>
      <c r="M131" s="8"/>
      <c r="N131" s="3"/>
      <c r="O131" s="2"/>
      <c r="P131" s="3"/>
      <c r="Q131" s="2"/>
      <c r="R131" s="3"/>
      <c r="S131" s="3"/>
      <c r="T131" s="2"/>
      <c r="U131" s="8">
        <f t="shared" ref="U131:U194" si="15">SUM(M131:T131)</f>
        <v>0</v>
      </c>
      <c r="V131" s="8"/>
      <c r="W131" s="8"/>
      <c r="X131" s="8"/>
      <c r="Y131" s="8"/>
      <c r="Z131" s="8"/>
      <c r="AA131" s="8"/>
      <c r="AB131" s="8"/>
      <c r="AC131" s="8">
        <f t="shared" si="8"/>
        <v>0</v>
      </c>
      <c r="AD131" s="8"/>
      <c r="AE131" s="8"/>
      <c r="AF131" s="8"/>
      <c r="AG131" s="8"/>
      <c r="AH131" s="8"/>
      <c r="AI131" s="8"/>
      <c r="AJ131" s="8"/>
      <c r="AK131" s="8"/>
      <c r="AL131" s="8"/>
      <c r="AM131" s="8">
        <v>298455705</v>
      </c>
      <c r="AN131" s="8">
        <f>SUBTOTAL(9,AC131:AM131)</f>
        <v>298455705</v>
      </c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>
        <v>99023135</v>
      </c>
      <c r="AZ131" s="8"/>
      <c r="BA131" s="8"/>
      <c r="BB131" s="8"/>
      <c r="BC131" s="8">
        <f t="shared" si="9"/>
        <v>397478840</v>
      </c>
      <c r="BD131" s="4">
        <v>99023135</v>
      </c>
      <c r="BE131" s="4">
        <f t="shared" si="10"/>
        <v>298455705</v>
      </c>
      <c r="BF131" s="30">
        <f t="shared" si="11"/>
        <v>397478840</v>
      </c>
      <c r="BG131" s="18">
        <f t="shared" si="12"/>
        <v>0</v>
      </c>
      <c r="BH131" s="23"/>
      <c r="BI131" s="23"/>
      <c r="BJ131" s="23"/>
    </row>
    <row r="132" spans="1:66" ht="15" customHeight="1" x14ac:dyDescent="0.2">
      <c r="A132" s="1">
        <v>8909838080</v>
      </c>
      <c r="B132" s="1">
        <v>890983808</v>
      </c>
      <c r="C132" s="15">
        <v>211305113</v>
      </c>
      <c r="D132" s="16" t="s">
        <v>64</v>
      </c>
      <c r="E132" s="41" t="s">
        <v>1095</v>
      </c>
      <c r="F132" s="28"/>
      <c r="G132" s="17"/>
      <c r="H132" s="3"/>
      <c r="I132" s="2"/>
      <c r="J132" s="29"/>
      <c r="K132" s="3"/>
      <c r="L132" s="17"/>
      <c r="M132" s="34"/>
      <c r="N132" s="3"/>
      <c r="O132" s="17"/>
      <c r="P132" s="3"/>
      <c r="Q132" s="2"/>
      <c r="R132" s="3"/>
      <c r="S132" s="3"/>
      <c r="T132" s="17"/>
      <c r="U132" s="8">
        <f t="shared" si="15"/>
        <v>0</v>
      </c>
      <c r="V132" s="8"/>
      <c r="W132" s="8"/>
      <c r="X132" s="8"/>
      <c r="Y132" s="8"/>
      <c r="Z132" s="8"/>
      <c r="AA132" s="8"/>
      <c r="AB132" s="8"/>
      <c r="AC132" s="8">
        <f t="shared" ref="AC132:AC195" si="16">SUM(U132:AB132)</f>
        <v>0</v>
      </c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>
        <v>73408860</v>
      </c>
      <c r="AZ132" s="8"/>
      <c r="BA132" s="8">
        <f>VLOOKUP(B132,[1]Hoja3!J$3:K$674,2,0)</f>
        <v>117767683</v>
      </c>
      <c r="BB132" s="8"/>
      <c r="BC132" s="8">
        <f t="shared" ref="BC132:BC195" si="17">SUM(AN132:BA132)-BB132</f>
        <v>191176543</v>
      </c>
      <c r="BD132" s="4">
        <v>73408860</v>
      </c>
      <c r="BE132" s="4">
        <f t="shared" ref="BE132:BE195" si="18">+AM132+BA132-BB132</f>
        <v>117767683</v>
      </c>
      <c r="BF132" s="30">
        <f t="shared" ref="BF132:BF195" si="19">+BD132+BE132</f>
        <v>191176543</v>
      </c>
      <c r="BG132" s="18">
        <f t="shared" ref="BG132:BG195" si="20">+BC132-BF132</f>
        <v>0</v>
      </c>
      <c r="BH132" s="23"/>
      <c r="BI132" s="23"/>
      <c r="BJ132" s="14"/>
      <c r="BK132" s="14"/>
      <c r="BL132" s="14"/>
      <c r="BM132" s="14"/>
      <c r="BN132" s="14"/>
    </row>
    <row r="133" spans="1:66" ht="15" customHeight="1" x14ac:dyDescent="0.2">
      <c r="A133" s="1">
        <v>8000997148</v>
      </c>
      <c r="B133" s="1">
        <v>800099714</v>
      </c>
      <c r="C133" s="15">
        <v>211415114</v>
      </c>
      <c r="D133" s="16" t="s">
        <v>227</v>
      </c>
      <c r="E133" s="41" t="s">
        <v>1263</v>
      </c>
      <c r="F133" s="28"/>
      <c r="G133" s="17"/>
      <c r="H133" s="3"/>
      <c r="I133" s="2"/>
      <c r="J133" s="29"/>
      <c r="K133" s="3"/>
      <c r="L133" s="17"/>
      <c r="M133" s="34"/>
      <c r="N133" s="3"/>
      <c r="O133" s="17"/>
      <c r="P133" s="3"/>
      <c r="Q133" s="2"/>
      <c r="R133" s="3"/>
      <c r="S133" s="3"/>
      <c r="T133" s="17"/>
      <c r="U133" s="8">
        <f t="shared" si="15"/>
        <v>0</v>
      </c>
      <c r="V133" s="8"/>
      <c r="W133" s="8"/>
      <c r="X133" s="8"/>
      <c r="Y133" s="8"/>
      <c r="Z133" s="8"/>
      <c r="AA133" s="8"/>
      <c r="AB133" s="8"/>
      <c r="AC133" s="8">
        <f t="shared" si="16"/>
        <v>0</v>
      </c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>
        <v>4343140</v>
      </c>
      <c r="AZ133" s="8"/>
      <c r="BA133" s="8">
        <f>VLOOKUP(B133,[1]Hoja3!J$3:K$674,2,0)</f>
        <v>7530659</v>
      </c>
      <c r="BB133" s="8"/>
      <c r="BC133" s="8">
        <f t="shared" si="17"/>
        <v>11873799</v>
      </c>
      <c r="BD133" s="4">
        <v>4343140</v>
      </c>
      <c r="BE133" s="4">
        <f t="shared" si="18"/>
        <v>7530659</v>
      </c>
      <c r="BF133" s="30">
        <f t="shared" si="19"/>
        <v>11873799</v>
      </c>
      <c r="BG133" s="18">
        <f t="shared" si="20"/>
        <v>0</v>
      </c>
      <c r="BH133" s="23"/>
      <c r="BI133" s="23"/>
      <c r="BJ133" s="14"/>
      <c r="BK133" s="14"/>
      <c r="BL133" s="14"/>
      <c r="BM133" s="14"/>
      <c r="BN133" s="14"/>
    </row>
    <row r="134" spans="1:66" ht="15" customHeight="1" x14ac:dyDescent="0.2">
      <c r="A134" s="1">
        <v>8906801075</v>
      </c>
      <c r="B134" s="1">
        <v>890680107</v>
      </c>
      <c r="C134" s="15">
        <v>212025120</v>
      </c>
      <c r="D134" s="16" t="s">
        <v>468</v>
      </c>
      <c r="E134" s="41" t="s">
        <v>1495</v>
      </c>
      <c r="F134" s="28"/>
      <c r="G134" s="2"/>
      <c r="H134" s="3"/>
      <c r="I134" s="2"/>
      <c r="J134" s="29"/>
      <c r="K134" s="3"/>
      <c r="L134" s="2"/>
      <c r="M134" s="8"/>
      <c r="N134" s="3"/>
      <c r="O134" s="2"/>
      <c r="P134" s="3"/>
      <c r="Q134" s="2"/>
      <c r="R134" s="3"/>
      <c r="S134" s="3"/>
      <c r="T134" s="2"/>
      <c r="U134" s="8">
        <f t="shared" si="15"/>
        <v>0</v>
      </c>
      <c r="V134" s="8"/>
      <c r="W134" s="8"/>
      <c r="X134" s="8"/>
      <c r="Y134" s="8"/>
      <c r="Z134" s="8"/>
      <c r="AA134" s="8"/>
      <c r="AB134" s="8"/>
      <c r="AC134" s="8">
        <f t="shared" si="16"/>
        <v>0</v>
      </c>
      <c r="AD134" s="8"/>
      <c r="AE134" s="8"/>
      <c r="AF134" s="8"/>
      <c r="AG134" s="8"/>
      <c r="AH134" s="8"/>
      <c r="AI134" s="8"/>
      <c r="AJ134" s="8"/>
      <c r="AK134" s="8"/>
      <c r="AL134" s="8"/>
      <c r="AM134" s="8">
        <v>72464686</v>
      </c>
      <c r="AN134" s="8">
        <f t="shared" ref="AN134:AN140" si="21">SUBTOTAL(9,AC134:AM134)</f>
        <v>72464686</v>
      </c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>
        <v>34612500</v>
      </c>
      <c r="AZ134" s="8"/>
      <c r="BA134" s="8"/>
      <c r="BB134" s="8"/>
      <c r="BC134" s="8">
        <f t="shared" si="17"/>
        <v>107077186</v>
      </c>
      <c r="BD134" s="4">
        <v>34612500</v>
      </c>
      <c r="BE134" s="4">
        <f t="shared" si="18"/>
        <v>72464686</v>
      </c>
      <c r="BF134" s="30">
        <f t="shared" si="19"/>
        <v>107077186</v>
      </c>
      <c r="BG134" s="18">
        <f t="shared" si="20"/>
        <v>0</v>
      </c>
      <c r="BH134" s="23"/>
      <c r="BI134" s="23"/>
      <c r="BJ134" s="23"/>
    </row>
    <row r="135" spans="1:66" ht="15" customHeight="1" x14ac:dyDescent="0.2">
      <c r="A135" s="1">
        <v>8902055753</v>
      </c>
      <c r="B135" s="1">
        <v>890205575</v>
      </c>
      <c r="C135" s="15">
        <v>212168121</v>
      </c>
      <c r="D135" s="16" t="s">
        <v>819</v>
      </c>
      <c r="E135" s="41" t="s">
        <v>1837</v>
      </c>
      <c r="F135" s="28"/>
      <c r="G135" s="17"/>
      <c r="H135" s="3"/>
      <c r="I135" s="2"/>
      <c r="J135" s="29"/>
      <c r="K135" s="3"/>
      <c r="L135" s="17"/>
      <c r="M135" s="34"/>
      <c r="N135" s="3"/>
      <c r="O135" s="17"/>
      <c r="P135" s="3"/>
      <c r="Q135" s="2"/>
      <c r="R135" s="3"/>
      <c r="S135" s="3"/>
      <c r="T135" s="17"/>
      <c r="U135" s="8">
        <f t="shared" si="15"/>
        <v>0</v>
      </c>
      <c r="V135" s="8"/>
      <c r="W135" s="8"/>
      <c r="X135" s="8"/>
      <c r="Y135" s="8"/>
      <c r="Z135" s="8"/>
      <c r="AA135" s="8"/>
      <c r="AB135" s="8"/>
      <c r="AC135" s="8">
        <f t="shared" si="16"/>
        <v>0</v>
      </c>
      <c r="AD135" s="8"/>
      <c r="AE135" s="8"/>
      <c r="AF135" s="8"/>
      <c r="AG135" s="8"/>
      <c r="AH135" s="8"/>
      <c r="AI135" s="8"/>
      <c r="AJ135" s="8"/>
      <c r="AK135" s="8"/>
      <c r="AL135" s="8"/>
      <c r="AM135" s="8">
        <v>22184644</v>
      </c>
      <c r="AN135" s="8">
        <f t="shared" si="21"/>
        <v>22184644</v>
      </c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>
        <v>10902305</v>
      </c>
      <c r="AZ135" s="8"/>
      <c r="BA135" s="8"/>
      <c r="BB135" s="8"/>
      <c r="BC135" s="8">
        <f t="shared" si="17"/>
        <v>33086949</v>
      </c>
      <c r="BD135" s="4">
        <v>10902305</v>
      </c>
      <c r="BE135" s="4">
        <f t="shared" si="18"/>
        <v>22184644</v>
      </c>
      <c r="BF135" s="30">
        <f t="shared" si="19"/>
        <v>33086949</v>
      </c>
      <c r="BG135" s="18">
        <f t="shared" si="20"/>
        <v>0</v>
      </c>
      <c r="BH135" s="23"/>
      <c r="BI135" s="23"/>
      <c r="BJ135" s="14"/>
      <c r="BK135" s="14"/>
      <c r="BL135" s="14"/>
      <c r="BM135" s="14"/>
      <c r="BN135" s="14"/>
    </row>
    <row r="136" spans="1:66" ht="15" customHeight="1" x14ac:dyDescent="0.2">
      <c r="A136" s="1">
        <v>8920992324</v>
      </c>
      <c r="B136" s="1">
        <v>892099232</v>
      </c>
      <c r="C136" s="15">
        <v>212450124</v>
      </c>
      <c r="D136" s="16" t="s">
        <v>668</v>
      </c>
      <c r="E136" s="41" t="s">
        <v>1689</v>
      </c>
      <c r="F136" s="28"/>
      <c r="G136" s="2"/>
      <c r="H136" s="3"/>
      <c r="I136" s="2"/>
      <c r="J136" s="29"/>
      <c r="K136" s="3"/>
      <c r="L136" s="2"/>
      <c r="M136" s="8"/>
      <c r="N136" s="3"/>
      <c r="O136" s="2"/>
      <c r="P136" s="3"/>
      <c r="Q136" s="2"/>
      <c r="R136" s="3"/>
      <c r="S136" s="3"/>
      <c r="T136" s="2"/>
      <c r="U136" s="8">
        <f t="shared" si="15"/>
        <v>0</v>
      </c>
      <c r="V136" s="8"/>
      <c r="W136" s="8"/>
      <c r="X136" s="8"/>
      <c r="Y136" s="8"/>
      <c r="Z136" s="8"/>
      <c r="AA136" s="8"/>
      <c r="AB136" s="8"/>
      <c r="AC136" s="8">
        <f t="shared" si="16"/>
        <v>0</v>
      </c>
      <c r="AD136" s="8"/>
      <c r="AE136" s="8"/>
      <c r="AF136" s="8"/>
      <c r="AG136" s="8"/>
      <c r="AH136" s="8"/>
      <c r="AI136" s="8"/>
      <c r="AJ136" s="8"/>
      <c r="AK136" s="8"/>
      <c r="AL136" s="8"/>
      <c r="AM136" s="8">
        <v>89421062</v>
      </c>
      <c r="AN136" s="8">
        <f t="shared" si="21"/>
        <v>89421062</v>
      </c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>
        <v>41110240</v>
      </c>
      <c r="AZ136" s="8"/>
      <c r="BA136" s="8"/>
      <c r="BB136" s="8"/>
      <c r="BC136" s="8">
        <f t="shared" si="17"/>
        <v>130531302</v>
      </c>
      <c r="BD136" s="4">
        <v>41110240</v>
      </c>
      <c r="BE136" s="4">
        <f t="shared" si="18"/>
        <v>89421062</v>
      </c>
      <c r="BF136" s="30">
        <f t="shared" si="19"/>
        <v>130531302</v>
      </c>
      <c r="BG136" s="18">
        <f t="shared" si="20"/>
        <v>0</v>
      </c>
      <c r="BH136" s="23"/>
      <c r="BI136" s="23"/>
      <c r="BJ136" s="23"/>
    </row>
    <row r="137" spans="1:66" ht="15" customHeight="1" x14ac:dyDescent="0.2">
      <c r="A137" s="1">
        <v>8909815671</v>
      </c>
      <c r="B137" s="1">
        <v>890981567</v>
      </c>
      <c r="C137" s="15">
        <v>212005120</v>
      </c>
      <c r="D137" s="16" t="s">
        <v>65</v>
      </c>
      <c r="E137" s="41" t="s">
        <v>1096</v>
      </c>
      <c r="F137" s="28"/>
      <c r="G137" s="2"/>
      <c r="H137" s="3"/>
      <c r="I137" s="2"/>
      <c r="J137" s="29"/>
      <c r="K137" s="3"/>
      <c r="L137" s="2"/>
      <c r="M137" s="8"/>
      <c r="N137" s="3"/>
      <c r="O137" s="2"/>
      <c r="P137" s="3"/>
      <c r="Q137" s="2"/>
      <c r="R137" s="3"/>
      <c r="S137" s="3"/>
      <c r="T137" s="2"/>
      <c r="U137" s="8">
        <f t="shared" si="15"/>
        <v>0</v>
      </c>
      <c r="V137" s="8"/>
      <c r="W137" s="8"/>
      <c r="X137" s="8"/>
      <c r="Y137" s="8"/>
      <c r="Z137" s="8"/>
      <c r="AA137" s="8"/>
      <c r="AB137" s="8"/>
      <c r="AC137" s="8">
        <f t="shared" si="16"/>
        <v>0</v>
      </c>
      <c r="AD137" s="8"/>
      <c r="AE137" s="8"/>
      <c r="AF137" s="8"/>
      <c r="AG137" s="8"/>
      <c r="AH137" s="8"/>
      <c r="AI137" s="8"/>
      <c r="AJ137" s="8"/>
      <c r="AK137" s="8"/>
      <c r="AL137" s="8"/>
      <c r="AM137" s="8">
        <v>497006981</v>
      </c>
      <c r="AN137" s="8">
        <f t="shared" si="21"/>
        <v>497006981</v>
      </c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>
        <v>367115805</v>
      </c>
      <c r="AZ137" s="8"/>
      <c r="BA137" s="8"/>
      <c r="BB137" s="8">
        <f>VLOOKUP(B137,'[2]anuladas en mayo gratuidad}'!K$2:L$55,2,0)</f>
        <v>16823104</v>
      </c>
      <c r="BC137" s="8">
        <f t="shared" si="17"/>
        <v>847299682</v>
      </c>
      <c r="BD137" s="4">
        <v>367115805</v>
      </c>
      <c r="BE137" s="4">
        <f t="shared" si="18"/>
        <v>480183877</v>
      </c>
      <c r="BF137" s="30">
        <f t="shared" si="19"/>
        <v>847299682</v>
      </c>
      <c r="BG137" s="18">
        <f t="shared" si="20"/>
        <v>0</v>
      </c>
      <c r="BH137" s="23"/>
      <c r="BI137" s="23"/>
      <c r="BJ137" s="23"/>
    </row>
    <row r="138" spans="1:66" ht="15" customHeight="1" x14ac:dyDescent="0.2">
      <c r="A138" s="1">
        <v>8000810919</v>
      </c>
      <c r="B138" s="1">
        <v>800081091</v>
      </c>
      <c r="C138" s="15">
        <v>212325123</v>
      </c>
      <c r="D138" s="16" t="s">
        <v>469</v>
      </c>
      <c r="E138" s="41" t="s">
        <v>1496</v>
      </c>
      <c r="F138" s="28"/>
      <c r="G138" s="2"/>
      <c r="H138" s="3"/>
      <c r="I138" s="2"/>
      <c r="J138" s="29"/>
      <c r="K138" s="3"/>
      <c r="L138" s="2"/>
      <c r="M138" s="8"/>
      <c r="N138" s="3"/>
      <c r="O138" s="2"/>
      <c r="P138" s="3"/>
      <c r="Q138" s="2"/>
      <c r="R138" s="3"/>
      <c r="S138" s="3"/>
      <c r="T138" s="2"/>
      <c r="U138" s="8">
        <f t="shared" si="15"/>
        <v>0</v>
      </c>
      <c r="V138" s="8"/>
      <c r="W138" s="8"/>
      <c r="X138" s="8"/>
      <c r="Y138" s="8"/>
      <c r="Z138" s="8"/>
      <c r="AA138" s="8"/>
      <c r="AB138" s="8"/>
      <c r="AC138" s="8">
        <f t="shared" si="16"/>
        <v>0</v>
      </c>
      <c r="AD138" s="8"/>
      <c r="AE138" s="8"/>
      <c r="AF138" s="8"/>
      <c r="AG138" s="8"/>
      <c r="AH138" s="8"/>
      <c r="AI138" s="8"/>
      <c r="AJ138" s="8"/>
      <c r="AK138" s="8"/>
      <c r="AL138" s="8"/>
      <c r="AM138" s="8">
        <v>94553148</v>
      </c>
      <c r="AN138" s="8">
        <f t="shared" si="21"/>
        <v>94553148</v>
      </c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>
        <f t="shared" si="17"/>
        <v>94553148</v>
      </c>
      <c r="BD138" s="4"/>
      <c r="BE138" s="4">
        <f t="shared" si="18"/>
        <v>94553148</v>
      </c>
      <c r="BF138" s="30">
        <f t="shared" si="19"/>
        <v>94553148</v>
      </c>
      <c r="BG138" s="18">
        <f t="shared" si="20"/>
        <v>0</v>
      </c>
      <c r="BH138" s="23"/>
      <c r="BI138" s="23"/>
      <c r="BJ138" s="23"/>
    </row>
    <row r="139" spans="1:66" ht="15" customHeight="1" x14ac:dyDescent="0.2">
      <c r="A139" s="1">
        <v>8905017766</v>
      </c>
      <c r="B139" s="1">
        <v>890501776</v>
      </c>
      <c r="C139" s="15">
        <v>212854128</v>
      </c>
      <c r="D139" s="16" t="s">
        <v>756</v>
      </c>
      <c r="E139" s="58" t="s">
        <v>2112</v>
      </c>
      <c r="F139" s="28"/>
      <c r="G139" s="2"/>
      <c r="H139" s="3"/>
      <c r="I139" s="2"/>
      <c r="J139" s="29"/>
      <c r="K139" s="3"/>
      <c r="L139" s="2"/>
      <c r="M139" s="8"/>
      <c r="N139" s="3"/>
      <c r="O139" s="2"/>
      <c r="P139" s="3"/>
      <c r="Q139" s="2"/>
      <c r="R139" s="3"/>
      <c r="S139" s="3"/>
      <c r="T139" s="2"/>
      <c r="U139" s="8">
        <f t="shared" si="15"/>
        <v>0</v>
      </c>
      <c r="V139" s="8"/>
      <c r="W139" s="8"/>
      <c r="X139" s="8"/>
      <c r="Y139" s="8"/>
      <c r="Z139" s="8"/>
      <c r="AA139" s="8"/>
      <c r="AB139" s="8"/>
      <c r="AC139" s="8">
        <f t="shared" si="16"/>
        <v>0</v>
      </c>
      <c r="AD139" s="8"/>
      <c r="AE139" s="8"/>
      <c r="AF139" s="8"/>
      <c r="AG139" s="8"/>
      <c r="AH139" s="8"/>
      <c r="AI139" s="8"/>
      <c r="AJ139" s="8"/>
      <c r="AK139" s="8"/>
      <c r="AL139" s="8"/>
      <c r="AM139" s="8">
        <v>62158734</v>
      </c>
      <c r="AN139" s="8">
        <f t="shared" si="21"/>
        <v>62158734</v>
      </c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>
        <v>82271570</v>
      </c>
      <c r="AZ139" s="8"/>
      <c r="BA139" s="8">
        <f>VLOOKUP(B139,[1]Hoja3!J$3:K$674,2,0)</f>
        <v>107388518</v>
      </c>
      <c r="BB139" s="8"/>
      <c r="BC139" s="8">
        <f t="shared" si="17"/>
        <v>251818822</v>
      </c>
      <c r="BD139" s="4">
        <v>82271570</v>
      </c>
      <c r="BE139" s="4">
        <f t="shared" si="18"/>
        <v>169547252</v>
      </c>
      <c r="BF139" s="30">
        <f t="shared" si="19"/>
        <v>251818822</v>
      </c>
      <c r="BG139" s="18">
        <f t="shared" si="20"/>
        <v>0</v>
      </c>
      <c r="BH139" s="23"/>
      <c r="BI139" s="23"/>
      <c r="BJ139" s="23"/>
    </row>
    <row r="140" spans="1:66" ht="15" customHeight="1" x14ac:dyDescent="0.2">
      <c r="A140" s="1">
        <v>8000992344</v>
      </c>
      <c r="B140" s="1">
        <v>800099234</v>
      </c>
      <c r="C140" s="15">
        <v>212554125</v>
      </c>
      <c r="D140" s="16" t="s">
        <v>755</v>
      </c>
      <c r="E140" s="41" t="s">
        <v>1775</v>
      </c>
      <c r="F140" s="28"/>
      <c r="G140" s="2"/>
      <c r="H140" s="3"/>
      <c r="I140" s="2"/>
      <c r="J140" s="29"/>
      <c r="K140" s="3"/>
      <c r="L140" s="2"/>
      <c r="M140" s="8"/>
      <c r="N140" s="3"/>
      <c r="O140" s="2"/>
      <c r="P140" s="3"/>
      <c r="Q140" s="2"/>
      <c r="R140" s="3"/>
      <c r="S140" s="3"/>
      <c r="T140" s="2"/>
      <c r="U140" s="8">
        <f t="shared" si="15"/>
        <v>0</v>
      </c>
      <c r="V140" s="8"/>
      <c r="W140" s="8"/>
      <c r="X140" s="8"/>
      <c r="Y140" s="8"/>
      <c r="Z140" s="8"/>
      <c r="AA140" s="8"/>
      <c r="AB140" s="8"/>
      <c r="AC140" s="8">
        <f t="shared" si="16"/>
        <v>0</v>
      </c>
      <c r="AD140" s="8"/>
      <c r="AE140" s="8"/>
      <c r="AF140" s="8"/>
      <c r="AG140" s="8"/>
      <c r="AH140" s="8"/>
      <c r="AI140" s="8"/>
      <c r="AJ140" s="8"/>
      <c r="AK140" s="8"/>
      <c r="AL140" s="8"/>
      <c r="AM140" s="8">
        <v>17274233</v>
      </c>
      <c r="AN140" s="8">
        <f t="shared" si="21"/>
        <v>17274233</v>
      </c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>
        <f>VLOOKUP(B140,[1]Hoja3!J$3:K$674,2,0)</f>
        <v>21832227</v>
      </c>
      <c r="BB140" s="8"/>
      <c r="BC140" s="8">
        <f t="shared" si="17"/>
        <v>39106460</v>
      </c>
      <c r="BD140" s="4"/>
      <c r="BE140" s="4">
        <f t="shared" si="18"/>
        <v>39106460</v>
      </c>
      <c r="BF140" s="30">
        <f t="shared" si="19"/>
        <v>39106460</v>
      </c>
      <c r="BG140" s="18">
        <f t="shared" si="20"/>
        <v>0</v>
      </c>
      <c r="BH140" s="23"/>
      <c r="BI140" s="23"/>
      <c r="BJ140" s="23"/>
    </row>
    <row r="141" spans="1:66" ht="15" customHeight="1" x14ac:dyDescent="0.2">
      <c r="A141" s="1">
        <v>8909842244</v>
      </c>
      <c r="B141" s="1">
        <v>890984224</v>
      </c>
      <c r="C141" s="15">
        <v>212505125</v>
      </c>
      <c r="D141" s="16" t="s">
        <v>66</v>
      </c>
      <c r="E141" s="41" t="s">
        <v>1097</v>
      </c>
      <c r="F141" s="28"/>
      <c r="G141" s="2"/>
      <c r="H141" s="3"/>
      <c r="I141" s="2"/>
      <c r="J141" s="29"/>
      <c r="K141" s="3"/>
      <c r="L141" s="2"/>
      <c r="M141" s="8"/>
      <c r="N141" s="3"/>
      <c r="O141" s="2"/>
      <c r="P141" s="3"/>
      <c r="Q141" s="2"/>
      <c r="R141" s="3"/>
      <c r="S141" s="3"/>
      <c r="T141" s="2"/>
      <c r="U141" s="8">
        <f t="shared" si="15"/>
        <v>0</v>
      </c>
      <c r="V141" s="8"/>
      <c r="W141" s="8"/>
      <c r="X141" s="8"/>
      <c r="Y141" s="8"/>
      <c r="Z141" s="8"/>
      <c r="AA141" s="8"/>
      <c r="AB141" s="8"/>
      <c r="AC141" s="8">
        <f t="shared" si="16"/>
        <v>0</v>
      </c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>
        <v>71716215</v>
      </c>
      <c r="AZ141" s="8"/>
      <c r="BA141" s="8">
        <f>VLOOKUP(B141,[1]Hoja3!J$3:K$674,2,0)</f>
        <v>113387085</v>
      </c>
      <c r="BB141" s="8"/>
      <c r="BC141" s="8">
        <f t="shared" si="17"/>
        <v>185103300</v>
      </c>
      <c r="BD141" s="4">
        <v>71716215</v>
      </c>
      <c r="BE141" s="4">
        <f t="shared" si="18"/>
        <v>113387085</v>
      </c>
      <c r="BF141" s="30">
        <f t="shared" si="19"/>
        <v>185103300</v>
      </c>
      <c r="BG141" s="18">
        <f t="shared" si="20"/>
        <v>0</v>
      </c>
      <c r="BH141" s="23"/>
      <c r="BI141" s="23"/>
      <c r="BJ141" s="23"/>
    </row>
    <row r="142" spans="1:66" ht="15" customHeight="1" x14ac:dyDescent="0.2">
      <c r="A142" s="1">
        <v>8919006606</v>
      </c>
      <c r="B142" s="1">
        <v>891900660</v>
      </c>
      <c r="C142" s="15">
        <v>212276122</v>
      </c>
      <c r="D142" s="16" t="s">
        <v>918</v>
      </c>
      <c r="E142" s="41" t="s">
        <v>1980</v>
      </c>
      <c r="F142" s="28"/>
      <c r="G142" s="2"/>
      <c r="H142" s="3"/>
      <c r="I142" s="2"/>
      <c r="J142" s="29"/>
      <c r="K142" s="3"/>
      <c r="L142" s="2"/>
      <c r="M142" s="8"/>
      <c r="N142" s="3"/>
      <c r="O142" s="2"/>
      <c r="P142" s="3"/>
      <c r="Q142" s="2"/>
      <c r="R142" s="3"/>
      <c r="S142" s="3"/>
      <c r="T142" s="2"/>
      <c r="U142" s="8">
        <f t="shared" si="15"/>
        <v>0</v>
      </c>
      <c r="V142" s="8"/>
      <c r="W142" s="8"/>
      <c r="X142" s="8"/>
      <c r="Y142" s="8"/>
      <c r="Z142" s="8"/>
      <c r="AA142" s="8"/>
      <c r="AB142" s="8"/>
      <c r="AC142" s="8">
        <f t="shared" si="16"/>
        <v>0</v>
      </c>
      <c r="AD142" s="8"/>
      <c r="AE142" s="8"/>
      <c r="AF142" s="8"/>
      <c r="AG142" s="8"/>
      <c r="AH142" s="8"/>
      <c r="AI142" s="8"/>
      <c r="AJ142" s="8"/>
      <c r="AK142" s="8"/>
      <c r="AL142" s="8"/>
      <c r="AM142" s="8">
        <v>306133676</v>
      </c>
      <c r="AN142" s="8">
        <f>SUBTOTAL(9,AC142:AM142)</f>
        <v>306133676</v>
      </c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>
        <v>193040465</v>
      </c>
      <c r="AZ142" s="8"/>
      <c r="BA142" s="8"/>
      <c r="BB142" s="8"/>
      <c r="BC142" s="8">
        <f t="shared" si="17"/>
        <v>499174141</v>
      </c>
      <c r="BD142" s="4">
        <v>193040465</v>
      </c>
      <c r="BE142" s="4">
        <f t="shared" si="18"/>
        <v>306133676</v>
      </c>
      <c r="BF142" s="30">
        <f t="shared" si="19"/>
        <v>499174141</v>
      </c>
      <c r="BG142" s="18">
        <f t="shared" si="20"/>
        <v>0</v>
      </c>
      <c r="BH142" s="23"/>
      <c r="BI142" s="23"/>
      <c r="BJ142" s="23"/>
    </row>
    <row r="143" spans="1:66" ht="15" customHeight="1" x14ac:dyDescent="0.2">
      <c r="A143" s="1">
        <v>8922000581</v>
      </c>
      <c r="B143" s="1">
        <v>892200058</v>
      </c>
      <c r="C143" s="15">
        <v>212470124</v>
      </c>
      <c r="D143" s="16" t="s">
        <v>891</v>
      </c>
      <c r="E143" s="41" t="s">
        <v>1905</v>
      </c>
      <c r="F143" s="28"/>
      <c r="G143" s="2"/>
      <c r="H143" s="3"/>
      <c r="I143" s="2"/>
      <c r="J143" s="29"/>
      <c r="K143" s="3"/>
      <c r="L143" s="2"/>
      <c r="M143" s="8"/>
      <c r="N143" s="3"/>
      <c r="O143" s="2"/>
      <c r="P143" s="3"/>
      <c r="Q143" s="2"/>
      <c r="R143" s="3"/>
      <c r="S143" s="3"/>
      <c r="T143" s="2"/>
      <c r="U143" s="8">
        <f t="shared" si="15"/>
        <v>0</v>
      </c>
      <c r="V143" s="8"/>
      <c r="W143" s="8"/>
      <c r="X143" s="8"/>
      <c r="Y143" s="8"/>
      <c r="Z143" s="8"/>
      <c r="AA143" s="8"/>
      <c r="AB143" s="8"/>
      <c r="AC143" s="8">
        <f t="shared" si="16"/>
        <v>0</v>
      </c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>
        <f>VLOOKUP(B143,[1]Hoja3!J$3:K$674,2,0)</f>
        <v>252421205</v>
      </c>
      <c r="BB143" s="8"/>
      <c r="BC143" s="8">
        <f t="shared" si="17"/>
        <v>252421205</v>
      </c>
      <c r="BD143" s="4"/>
      <c r="BE143" s="4">
        <f t="shared" si="18"/>
        <v>252421205</v>
      </c>
      <c r="BF143" s="30">
        <f t="shared" si="19"/>
        <v>252421205</v>
      </c>
      <c r="BG143" s="18">
        <f t="shared" si="20"/>
        <v>0</v>
      </c>
      <c r="BH143" s="23"/>
      <c r="BI143" s="23"/>
      <c r="BJ143" s="23"/>
    </row>
    <row r="144" spans="1:66" ht="15" customHeight="1" x14ac:dyDescent="0.2">
      <c r="A144" s="1">
        <v>8907008592</v>
      </c>
      <c r="B144" s="1">
        <v>890700859</v>
      </c>
      <c r="C144" s="15">
        <v>212473124</v>
      </c>
      <c r="D144" s="16" t="s">
        <v>2210</v>
      </c>
      <c r="E144" s="41" t="s">
        <v>1935</v>
      </c>
      <c r="F144" s="28"/>
      <c r="G144" s="2"/>
      <c r="H144" s="3"/>
      <c r="I144" s="2"/>
      <c r="J144" s="29"/>
      <c r="K144" s="3"/>
      <c r="L144" s="2"/>
      <c r="M144" s="8"/>
      <c r="N144" s="3"/>
      <c r="O144" s="2"/>
      <c r="P144" s="3"/>
      <c r="Q144" s="2"/>
      <c r="R144" s="3"/>
      <c r="S144" s="3"/>
      <c r="T144" s="2"/>
      <c r="U144" s="8">
        <f t="shared" si="15"/>
        <v>0</v>
      </c>
      <c r="V144" s="8"/>
      <c r="W144" s="8"/>
      <c r="X144" s="8"/>
      <c r="Y144" s="8"/>
      <c r="Z144" s="8"/>
      <c r="AA144" s="8"/>
      <c r="AB144" s="8"/>
      <c r="AC144" s="8">
        <f t="shared" si="16"/>
        <v>0</v>
      </c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>
        <v>120920205</v>
      </c>
      <c r="AZ144" s="8"/>
      <c r="BA144" s="8">
        <f>VLOOKUP(B144,[1]Hoja3!J$3:K$674,2,0)</f>
        <v>305175770</v>
      </c>
      <c r="BB144" s="8"/>
      <c r="BC144" s="8">
        <f t="shared" si="17"/>
        <v>426095975</v>
      </c>
      <c r="BD144" s="4">
        <v>120920205</v>
      </c>
      <c r="BE144" s="4">
        <f t="shared" si="18"/>
        <v>305175770</v>
      </c>
      <c r="BF144" s="30">
        <f t="shared" si="19"/>
        <v>426095975</v>
      </c>
      <c r="BG144" s="18">
        <f t="shared" si="20"/>
        <v>0</v>
      </c>
      <c r="BH144" s="23"/>
      <c r="BI144" s="23"/>
      <c r="BJ144" s="23"/>
    </row>
    <row r="145" spans="1:66" ht="15" customHeight="1" x14ac:dyDescent="0.2">
      <c r="A145" s="1">
        <v>8915008645</v>
      </c>
      <c r="B145" s="1">
        <v>891500864</v>
      </c>
      <c r="C145" s="15">
        <v>213019130</v>
      </c>
      <c r="D145" s="16" t="s">
        <v>378</v>
      </c>
      <c r="E145" s="41" t="s">
        <v>1410</v>
      </c>
      <c r="F145" s="28"/>
      <c r="G145" s="2"/>
      <c r="H145" s="3"/>
      <c r="I145" s="2"/>
      <c r="J145" s="29"/>
      <c r="K145" s="3"/>
      <c r="L145" s="2"/>
      <c r="M145" s="8"/>
      <c r="N145" s="3"/>
      <c r="O145" s="2"/>
      <c r="P145" s="3"/>
      <c r="Q145" s="2"/>
      <c r="R145" s="3"/>
      <c r="S145" s="3"/>
      <c r="T145" s="2"/>
      <c r="U145" s="8">
        <f t="shared" si="15"/>
        <v>0</v>
      </c>
      <c r="V145" s="8"/>
      <c r="W145" s="8"/>
      <c r="X145" s="8"/>
      <c r="Y145" s="8"/>
      <c r="Z145" s="8"/>
      <c r="AA145" s="8"/>
      <c r="AB145" s="8"/>
      <c r="AC145" s="8">
        <f t="shared" si="16"/>
        <v>0</v>
      </c>
      <c r="AD145" s="8"/>
      <c r="AE145" s="8"/>
      <c r="AF145" s="8"/>
      <c r="AG145" s="8"/>
      <c r="AH145" s="8"/>
      <c r="AI145" s="8"/>
      <c r="AJ145" s="8"/>
      <c r="AK145" s="8"/>
      <c r="AL145" s="8"/>
      <c r="AM145" s="8">
        <v>390596232</v>
      </c>
      <c r="AN145" s="8">
        <f>SUBTOTAL(9,AC145:AM145)</f>
        <v>390596232</v>
      </c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>
        <v>335963795</v>
      </c>
      <c r="AZ145" s="8"/>
      <c r="BA145" s="8">
        <f>VLOOKUP(B145,[1]Hoja3!J$3:K$674,2,0)</f>
        <v>95250546</v>
      </c>
      <c r="BB145" s="8"/>
      <c r="BC145" s="8">
        <f t="shared" si="17"/>
        <v>821810573</v>
      </c>
      <c r="BD145" s="4">
        <v>335963795</v>
      </c>
      <c r="BE145" s="4">
        <f t="shared" si="18"/>
        <v>485846778</v>
      </c>
      <c r="BF145" s="30">
        <f t="shared" si="19"/>
        <v>821810573</v>
      </c>
      <c r="BG145" s="18">
        <f t="shared" si="20"/>
        <v>0</v>
      </c>
      <c r="BH145" s="23"/>
      <c r="BI145" s="23"/>
      <c r="BJ145" s="23"/>
    </row>
    <row r="146" spans="1:66" ht="15" customHeight="1" x14ac:dyDescent="0.2">
      <c r="A146" s="1">
        <v>8999994650</v>
      </c>
      <c r="B146" s="1">
        <v>899999465</v>
      </c>
      <c r="C146" s="15">
        <v>212625126</v>
      </c>
      <c r="D146" s="16" t="s">
        <v>470</v>
      </c>
      <c r="E146" s="41" t="s">
        <v>2102</v>
      </c>
      <c r="F146" s="28"/>
      <c r="G146" s="2"/>
      <c r="H146" s="3"/>
      <c r="I146" s="2"/>
      <c r="J146" s="29"/>
      <c r="K146" s="3"/>
      <c r="L146" s="2"/>
      <c r="M146" s="8"/>
      <c r="N146" s="3"/>
      <c r="O146" s="2"/>
      <c r="P146" s="3"/>
      <c r="Q146" s="2"/>
      <c r="R146" s="3"/>
      <c r="S146" s="3"/>
      <c r="T146" s="2"/>
      <c r="U146" s="8">
        <f t="shared" si="15"/>
        <v>0</v>
      </c>
      <c r="V146" s="8"/>
      <c r="W146" s="8"/>
      <c r="X146" s="8"/>
      <c r="Y146" s="8"/>
      <c r="Z146" s="8"/>
      <c r="AA146" s="8"/>
      <c r="AB146" s="8"/>
      <c r="AC146" s="8">
        <f t="shared" si="16"/>
        <v>0</v>
      </c>
      <c r="AD146" s="8"/>
      <c r="AE146" s="8"/>
      <c r="AF146" s="8"/>
      <c r="AG146" s="8"/>
      <c r="AH146" s="8"/>
      <c r="AI146" s="8"/>
      <c r="AJ146" s="8"/>
      <c r="AK146" s="8"/>
      <c r="AL146" s="8"/>
      <c r="AM146" s="8">
        <v>729941917</v>
      </c>
      <c r="AN146" s="8">
        <f>SUBTOTAL(9,AC146:AM146)</f>
        <v>729941917</v>
      </c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>
        <v>250492780</v>
      </c>
      <c r="AZ146" s="8"/>
      <c r="BA146" s="8"/>
      <c r="BB146" s="8"/>
      <c r="BC146" s="8">
        <f t="shared" si="17"/>
        <v>980434697</v>
      </c>
      <c r="BD146" s="4">
        <v>250492780</v>
      </c>
      <c r="BE146" s="4">
        <f t="shared" si="18"/>
        <v>729941917</v>
      </c>
      <c r="BF146" s="30">
        <f t="shared" si="19"/>
        <v>980434697</v>
      </c>
      <c r="BG146" s="18">
        <f t="shared" si="20"/>
        <v>0</v>
      </c>
      <c r="BH146" s="23"/>
      <c r="BI146" s="23"/>
      <c r="BJ146" s="23"/>
    </row>
    <row r="147" spans="1:66" ht="15" customHeight="1" x14ac:dyDescent="0.2">
      <c r="A147" s="1">
        <v>8904813623</v>
      </c>
      <c r="B147" s="1">
        <v>890481362</v>
      </c>
      <c r="C147" s="15">
        <v>214013140</v>
      </c>
      <c r="D147" s="16" t="s">
        <v>186</v>
      </c>
      <c r="E147" s="41" t="s">
        <v>1216</v>
      </c>
      <c r="F147" s="28"/>
      <c r="G147" s="2"/>
      <c r="H147" s="3"/>
      <c r="I147" s="2"/>
      <c r="J147" s="29"/>
      <c r="K147" s="3"/>
      <c r="L147" s="2"/>
      <c r="M147" s="8"/>
      <c r="N147" s="3"/>
      <c r="O147" s="2"/>
      <c r="P147" s="3"/>
      <c r="Q147" s="2"/>
      <c r="R147" s="3"/>
      <c r="S147" s="3"/>
      <c r="T147" s="2"/>
      <c r="U147" s="8">
        <f t="shared" si="15"/>
        <v>0</v>
      </c>
      <c r="V147" s="8"/>
      <c r="W147" s="8"/>
      <c r="X147" s="8"/>
      <c r="Y147" s="8"/>
      <c r="Z147" s="8"/>
      <c r="AA147" s="8"/>
      <c r="AB147" s="8"/>
      <c r="AC147" s="8">
        <f t="shared" si="16"/>
        <v>0</v>
      </c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>
        <v>289833335</v>
      </c>
      <c r="AZ147" s="8"/>
      <c r="BA147" s="8">
        <f>VLOOKUP(B147,[1]Hoja3!J$3:K$674,2,0)</f>
        <v>448342459</v>
      </c>
      <c r="BB147" s="8"/>
      <c r="BC147" s="8">
        <f t="shared" si="17"/>
        <v>738175794</v>
      </c>
      <c r="BD147" s="4">
        <v>289833335</v>
      </c>
      <c r="BE147" s="4">
        <f t="shared" si="18"/>
        <v>448342459</v>
      </c>
      <c r="BF147" s="30">
        <f t="shared" si="19"/>
        <v>738175794</v>
      </c>
      <c r="BG147" s="18">
        <f t="shared" si="20"/>
        <v>0</v>
      </c>
      <c r="BH147" s="23"/>
      <c r="BI147" s="23"/>
      <c r="BJ147" s="23"/>
    </row>
    <row r="148" spans="1:66" ht="15" customHeight="1" x14ac:dyDescent="0.2">
      <c r="A148" s="1">
        <v>8001914311</v>
      </c>
      <c r="B148" s="1">
        <v>800191431</v>
      </c>
      <c r="C148" s="15">
        <v>211595015</v>
      </c>
      <c r="D148" s="16" t="s">
        <v>991</v>
      </c>
      <c r="E148" s="41" t="s">
        <v>2049</v>
      </c>
      <c r="F148" s="28"/>
      <c r="G148" s="17"/>
      <c r="H148" s="3"/>
      <c r="I148" s="2"/>
      <c r="J148" s="29"/>
      <c r="K148" s="3"/>
      <c r="L148" s="17"/>
      <c r="M148" s="34"/>
      <c r="N148" s="3"/>
      <c r="O148" s="17"/>
      <c r="P148" s="3"/>
      <c r="Q148" s="2"/>
      <c r="R148" s="3"/>
      <c r="S148" s="3"/>
      <c r="T148" s="17"/>
      <c r="U148" s="8">
        <f t="shared" si="15"/>
        <v>0</v>
      </c>
      <c r="V148" s="8"/>
      <c r="W148" s="8"/>
      <c r="X148" s="8"/>
      <c r="Y148" s="8"/>
      <c r="Z148" s="8"/>
      <c r="AA148" s="8"/>
      <c r="AB148" s="8"/>
      <c r="AC148" s="8">
        <f t="shared" si="16"/>
        <v>0</v>
      </c>
      <c r="AD148" s="8"/>
      <c r="AE148" s="8"/>
      <c r="AF148" s="8"/>
      <c r="AG148" s="8"/>
      <c r="AH148" s="8"/>
      <c r="AI148" s="8"/>
      <c r="AJ148" s="8"/>
      <c r="AK148" s="8"/>
      <c r="AL148" s="8"/>
      <c r="AM148" s="8">
        <v>97457809</v>
      </c>
      <c r="AN148" s="8">
        <f t="shared" ref="AN148:AN154" si="22">SUBTOTAL(9,AC148:AM148)</f>
        <v>97457809</v>
      </c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>
        <f t="shared" si="17"/>
        <v>97457809</v>
      </c>
      <c r="BD148" s="4"/>
      <c r="BE148" s="4">
        <f t="shared" si="18"/>
        <v>97457809</v>
      </c>
      <c r="BF148" s="30">
        <f t="shared" si="19"/>
        <v>97457809</v>
      </c>
      <c r="BG148" s="18">
        <f t="shared" si="20"/>
        <v>0</v>
      </c>
      <c r="BH148" s="23"/>
      <c r="BI148" s="23"/>
      <c r="BJ148" s="14"/>
      <c r="BK148" s="14"/>
      <c r="BL148" s="14"/>
      <c r="BM148" s="14"/>
      <c r="BN148" s="14"/>
    </row>
    <row r="149" spans="1:66" ht="15" customHeight="1" x14ac:dyDescent="0.2">
      <c r="A149" s="1">
        <v>8900004414</v>
      </c>
      <c r="B149" s="1">
        <v>890000441</v>
      </c>
      <c r="C149" s="15">
        <v>213063130</v>
      </c>
      <c r="D149" s="16" t="s">
        <v>790</v>
      </c>
      <c r="E149" s="41" t="s">
        <v>1808</v>
      </c>
      <c r="F149" s="28"/>
      <c r="G149" s="2"/>
      <c r="H149" s="3"/>
      <c r="I149" s="2"/>
      <c r="J149" s="29"/>
      <c r="K149" s="3"/>
      <c r="L149" s="2"/>
      <c r="M149" s="8"/>
      <c r="N149" s="3"/>
      <c r="O149" s="2"/>
      <c r="P149" s="3"/>
      <c r="Q149" s="2"/>
      <c r="R149" s="3"/>
      <c r="S149" s="3"/>
      <c r="T149" s="2"/>
      <c r="U149" s="8">
        <f t="shared" si="15"/>
        <v>0</v>
      </c>
      <c r="V149" s="8"/>
      <c r="W149" s="8"/>
      <c r="X149" s="8"/>
      <c r="Y149" s="8"/>
      <c r="Z149" s="8"/>
      <c r="AA149" s="8"/>
      <c r="AB149" s="8"/>
      <c r="AC149" s="8">
        <f t="shared" si="16"/>
        <v>0</v>
      </c>
      <c r="AD149" s="8"/>
      <c r="AE149" s="8"/>
      <c r="AF149" s="8"/>
      <c r="AG149" s="8"/>
      <c r="AH149" s="8"/>
      <c r="AI149" s="8"/>
      <c r="AJ149" s="8"/>
      <c r="AK149" s="8"/>
      <c r="AL149" s="8"/>
      <c r="AM149" s="8">
        <v>750902508</v>
      </c>
      <c r="AN149" s="8">
        <f t="shared" si="22"/>
        <v>750902508</v>
      </c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>
        <v>478330090</v>
      </c>
      <c r="AZ149" s="8"/>
      <c r="BA149" s="8">
        <f>VLOOKUP(B149,[1]Hoja3!J$3:K$674,2,0)</f>
        <v>170742574</v>
      </c>
      <c r="BB149" s="8"/>
      <c r="BC149" s="8">
        <f t="shared" si="17"/>
        <v>1399975172</v>
      </c>
      <c r="BD149" s="4">
        <v>478330090</v>
      </c>
      <c r="BE149" s="4">
        <f t="shared" si="18"/>
        <v>921645082</v>
      </c>
      <c r="BF149" s="30">
        <f t="shared" si="19"/>
        <v>1399975172</v>
      </c>
      <c r="BG149" s="18">
        <f t="shared" si="20"/>
        <v>0</v>
      </c>
      <c r="BH149" s="23"/>
      <c r="BI149" s="23"/>
      <c r="BJ149" s="23"/>
    </row>
    <row r="150" spans="1:66" ht="15" customHeight="1" x14ac:dyDescent="0.2">
      <c r="A150" s="1">
        <v>8909804471</v>
      </c>
      <c r="B150" s="1">
        <v>890980447</v>
      </c>
      <c r="C150" s="15">
        <v>212905129</v>
      </c>
      <c r="D150" s="16" t="s">
        <v>67</v>
      </c>
      <c r="E150" s="41" t="s">
        <v>1098</v>
      </c>
      <c r="F150" s="28"/>
      <c r="G150" s="2"/>
      <c r="H150" s="3"/>
      <c r="I150" s="2"/>
      <c r="J150" s="29"/>
      <c r="K150" s="3"/>
      <c r="L150" s="2"/>
      <c r="M150" s="8"/>
      <c r="N150" s="3"/>
      <c r="O150" s="2"/>
      <c r="P150" s="3"/>
      <c r="Q150" s="2"/>
      <c r="R150" s="3"/>
      <c r="S150" s="3"/>
      <c r="T150" s="2"/>
      <c r="U150" s="8">
        <f t="shared" si="15"/>
        <v>0</v>
      </c>
      <c r="V150" s="8"/>
      <c r="W150" s="8"/>
      <c r="X150" s="8"/>
      <c r="Y150" s="8"/>
      <c r="Z150" s="8"/>
      <c r="AA150" s="8"/>
      <c r="AB150" s="8"/>
      <c r="AC150" s="8">
        <f t="shared" si="16"/>
        <v>0</v>
      </c>
      <c r="AD150" s="8"/>
      <c r="AE150" s="8"/>
      <c r="AF150" s="8"/>
      <c r="AG150" s="8"/>
      <c r="AH150" s="8"/>
      <c r="AI150" s="8"/>
      <c r="AJ150" s="8"/>
      <c r="AK150" s="8"/>
      <c r="AL150" s="8"/>
      <c r="AM150" s="8">
        <v>299657319</v>
      </c>
      <c r="AN150" s="8">
        <f t="shared" si="22"/>
        <v>299657319</v>
      </c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>
        <f>VLOOKUP(B150,[1]Hoja3!J$3:K$674,2,0)</f>
        <v>471966572</v>
      </c>
      <c r="BB150" s="8"/>
      <c r="BC150" s="8">
        <f t="shared" si="17"/>
        <v>771623891</v>
      </c>
      <c r="BD150" s="4"/>
      <c r="BE150" s="4">
        <f t="shared" si="18"/>
        <v>771623891</v>
      </c>
      <c r="BF150" s="30">
        <f t="shared" si="19"/>
        <v>771623891</v>
      </c>
      <c r="BG150" s="18">
        <f t="shared" si="20"/>
        <v>0</v>
      </c>
      <c r="BH150" s="23"/>
      <c r="BI150" s="23"/>
      <c r="BJ150" s="23"/>
    </row>
    <row r="151" spans="1:66" ht="15" customHeight="1" x14ac:dyDescent="0.2">
      <c r="A151" s="1">
        <v>8918017964</v>
      </c>
      <c r="B151" s="1">
        <v>891801796</v>
      </c>
      <c r="C151" s="15">
        <v>213115131</v>
      </c>
      <c r="D151" s="16" t="s">
        <v>228</v>
      </c>
      <c r="E151" s="41" t="s">
        <v>1264</v>
      </c>
      <c r="F151" s="28"/>
      <c r="G151" s="17"/>
      <c r="H151" s="3"/>
      <c r="I151" s="2"/>
      <c r="J151" s="29"/>
      <c r="K151" s="3"/>
      <c r="L151" s="17"/>
      <c r="M151" s="34"/>
      <c r="N151" s="3"/>
      <c r="O151" s="17"/>
      <c r="P151" s="3"/>
      <c r="Q151" s="2"/>
      <c r="R151" s="3"/>
      <c r="S151" s="3"/>
      <c r="T151" s="17"/>
      <c r="U151" s="8">
        <f t="shared" si="15"/>
        <v>0</v>
      </c>
      <c r="V151" s="8"/>
      <c r="W151" s="8"/>
      <c r="X151" s="8"/>
      <c r="Y151" s="8"/>
      <c r="Z151" s="8"/>
      <c r="AA151" s="8"/>
      <c r="AB151" s="8"/>
      <c r="AC151" s="8">
        <f t="shared" si="16"/>
        <v>0</v>
      </c>
      <c r="AD151" s="8"/>
      <c r="AE151" s="8"/>
      <c r="AF151" s="8"/>
      <c r="AG151" s="8"/>
      <c r="AH151" s="8"/>
      <c r="AI151" s="8"/>
      <c r="AJ151" s="8"/>
      <c r="AK151" s="8"/>
      <c r="AL151" s="8"/>
      <c r="AM151" s="8">
        <v>24718604</v>
      </c>
      <c r="AN151" s="8">
        <f t="shared" si="22"/>
        <v>24718604</v>
      </c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>
        <v>25526775</v>
      </c>
      <c r="AZ151" s="8"/>
      <c r="BA151" s="8">
        <f>VLOOKUP(B151,[1]Hoja3!J$3:K$674,2,0)</f>
        <v>24245043</v>
      </c>
      <c r="BB151" s="8"/>
      <c r="BC151" s="8">
        <f t="shared" si="17"/>
        <v>74490422</v>
      </c>
      <c r="BD151" s="4">
        <v>25526775</v>
      </c>
      <c r="BE151" s="4">
        <f t="shared" si="18"/>
        <v>48963647</v>
      </c>
      <c r="BF151" s="30">
        <f t="shared" si="19"/>
        <v>74490422</v>
      </c>
      <c r="BG151" s="18">
        <f t="shared" si="20"/>
        <v>0</v>
      </c>
      <c r="BH151" s="23"/>
      <c r="BI151" s="23"/>
      <c r="BJ151" s="14"/>
      <c r="BK151" s="14"/>
      <c r="BL151" s="14"/>
      <c r="BM151" s="14"/>
      <c r="BN151" s="14"/>
    </row>
    <row r="152" spans="1:66" ht="15" customHeight="1" x14ac:dyDescent="0.2">
      <c r="A152" s="1">
        <v>8915017231</v>
      </c>
      <c r="B152" s="1">
        <v>891501723</v>
      </c>
      <c r="C152" s="15">
        <v>213719137</v>
      </c>
      <c r="D152" s="16" t="s">
        <v>379</v>
      </c>
      <c r="E152" s="41" t="s">
        <v>1411</v>
      </c>
      <c r="F152" s="28"/>
      <c r="G152" s="2"/>
      <c r="H152" s="3"/>
      <c r="I152" s="2"/>
      <c r="J152" s="29"/>
      <c r="K152" s="3"/>
      <c r="L152" s="2"/>
      <c r="M152" s="8"/>
      <c r="N152" s="3"/>
      <c r="O152" s="2"/>
      <c r="P152" s="3"/>
      <c r="Q152" s="2"/>
      <c r="R152" s="3"/>
      <c r="S152" s="3"/>
      <c r="T152" s="2"/>
      <c r="U152" s="8">
        <f t="shared" si="15"/>
        <v>0</v>
      </c>
      <c r="V152" s="8"/>
      <c r="W152" s="8"/>
      <c r="X152" s="8"/>
      <c r="Y152" s="8"/>
      <c r="Z152" s="8"/>
      <c r="AA152" s="8"/>
      <c r="AB152" s="8"/>
      <c r="AC152" s="8">
        <f t="shared" si="16"/>
        <v>0</v>
      </c>
      <c r="AD152" s="8"/>
      <c r="AE152" s="8"/>
      <c r="AF152" s="8"/>
      <c r="AG152" s="8"/>
      <c r="AH152" s="8"/>
      <c r="AI152" s="8"/>
      <c r="AJ152" s="8"/>
      <c r="AK152" s="8"/>
      <c r="AL152" s="8"/>
      <c r="AM152" s="8">
        <v>100481033</v>
      </c>
      <c r="AN152" s="8">
        <f t="shared" si="22"/>
        <v>100481033</v>
      </c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>
        <f>VLOOKUP(B152,[1]Hoja3!J$3:K$674,2,0)</f>
        <v>226219772</v>
      </c>
      <c r="BB152" s="8"/>
      <c r="BC152" s="8">
        <f t="shared" si="17"/>
        <v>326700805</v>
      </c>
      <c r="BD152" s="4"/>
      <c r="BE152" s="4">
        <f t="shared" si="18"/>
        <v>326700805</v>
      </c>
      <c r="BF152" s="30">
        <f t="shared" si="19"/>
        <v>326700805</v>
      </c>
      <c r="BG152" s="18">
        <f t="shared" si="20"/>
        <v>0</v>
      </c>
      <c r="BH152" s="23"/>
      <c r="BI152" s="23"/>
      <c r="BJ152" s="23"/>
    </row>
    <row r="153" spans="1:66" ht="15" customHeight="1" x14ac:dyDescent="0.2">
      <c r="A153" s="1">
        <v>8903990113</v>
      </c>
      <c r="B153" s="1">
        <v>890399011</v>
      </c>
      <c r="C153" s="15">
        <v>210176001</v>
      </c>
      <c r="D153" s="16" t="s">
        <v>2150</v>
      </c>
      <c r="E153" s="60" t="s">
        <v>2260</v>
      </c>
      <c r="F153" s="28"/>
      <c r="G153" s="2"/>
      <c r="H153" s="3"/>
      <c r="I153" s="2">
        <f>24564113568+469702187</f>
        <v>25033815755</v>
      </c>
      <c r="J153" s="29">
        <v>1627504974</v>
      </c>
      <c r="K153" s="3">
        <v>3236497477</v>
      </c>
      <c r="L153" s="2"/>
      <c r="M153" s="37">
        <f>SUM(F153:L153)</f>
        <v>29897818206</v>
      </c>
      <c r="N153" s="3"/>
      <c r="O153" s="2"/>
      <c r="P153" s="3"/>
      <c r="Q153" s="2">
        <f>23723928665+28371563449</f>
        <v>52095492114</v>
      </c>
      <c r="R153" s="3">
        <v>1627504974</v>
      </c>
      <c r="S153" s="3">
        <f>1608992503+1627504974</f>
        <v>3236497477</v>
      </c>
      <c r="T153" s="2"/>
      <c r="U153" s="8">
        <f t="shared" si="15"/>
        <v>86857312771</v>
      </c>
      <c r="V153" s="8"/>
      <c r="W153" s="8"/>
      <c r="X153" s="8"/>
      <c r="Y153" s="8">
        <v>53016883049</v>
      </c>
      <c r="Z153" s="8">
        <v>1455878663</v>
      </c>
      <c r="AA153" s="8">
        <v>3461975791</v>
      </c>
      <c r="AB153" s="8"/>
      <c r="AC153" s="8">
        <f t="shared" si="16"/>
        <v>144792050274</v>
      </c>
      <c r="AD153" s="8"/>
      <c r="AE153" s="8"/>
      <c r="AF153" s="8"/>
      <c r="AG153" s="8"/>
      <c r="AH153" s="8">
        <v>26127432540</v>
      </c>
      <c r="AI153" s="8">
        <v>2471634286</v>
      </c>
      <c r="AJ153" s="8">
        <v>1651295015</v>
      </c>
      <c r="AK153" s="8">
        <v>4161663703</v>
      </c>
      <c r="AL153" s="8"/>
      <c r="AM153" s="8">
        <v>12011171933</v>
      </c>
      <c r="AN153" s="8">
        <f t="shared" si="22"/>
        <v>191215247751</v>
      </c>
      <c r="AO153" s="8"/>
      <c r="AP153" s="8"/>
      <c r="AQ153" s="8">
        <v>4038989965</v>
      </c>
      <c r="AR153" s="8"/>
      <c r="AS153" s="8"/>
      <c r="AT153" s="8">
        <v>24627432540</v>
      </c>
      <c r="AU153" s="8"/>
      <c r="AV153" s="8">
        <v>1651295015</v>
      </c>
      <c r="AW153" s="8">
        <v>2819187669</v>
      </c>
      <c r="AX153" s="8"/>
      <c r="AY153" s="8"/>
      <c r="AZ153" s="8">
        <v>8180635250</v>
      </c>
      <c r="BA153" s="8"/>
      <c r="BB153" s="8">
        <f>VLOOKUP(B153,'[2]anuladas en mayo gratuidad}'!K$2:L$55,2,0)</f>
        <v>171408432</v>
      </c>
      <c r="BC153" s="8">
        <f t="shared" si="17"/>
        <v>232361379758</v>
      </c>
      <c r="BD153" s="4">
        <v>220521616257</v>
      </c>
      <c r="BE153" s="4">
        <f t="shared" si="18"/>
        <v>11839763501</v>
      </c>
      <c r="BF153" s="30">
        <f t="shared" si="19"/>
        <v>232361379758</v>
      </c>
      <c r="BG153" s="18">
        <f t="shared" si="20"/>
        <v>0</v>
      </c>
      <c r="BH153" s="23"/>
      <c r="BI153" s="23"/>
      <c r="BJ153" s="23"/>
    </row>
    <row r="154" spans="1:66" ht="15" customHeight="1" x14ac:dyDescent="0.2">
      <c r="A154" s="1">
        <v>8902109677</v>
      </c>
      <c r="B154" s="1">
        <v>890210967</v>
      </c>
      <c r="C154" s="15">
        <v>213268132</v>
      </c>
      <c r="D154" s="16" t="s">
        <v>820</v>
      </c>
      <c r="E154" s="41" t="s">
        <v>1838</v>
      </c>
      <c r="F154" s="28"/>
      <c r="G154" s="2"/>
      <c r="H154" s="3"/>
      <c r="I154" s="2"/>
      <c r="J154" s="29"/>
      <c r="K154" s="3"/>
      <c r="L154" s="2"/>
      <c r="M154" s="8"/>
      <c r="N154" s="3"/>
      <c r="O154" s="2"/>
      <c r="P154" s="3"/>
      <c r="Q154" s="2"/>
      <c r="R154" s="3"/>
      <c r="S154" s="3"/>
      <c r="T154" s="2"/>
      <c r="U154" s="8">
        <f t="shared" si="15"/>
        <v>0</v>
      </c>
      <c r="V154" s="8"/>
      <c r="W154" s="8"/>
      <c r="X154" s="8"/>
      <c r="Y154" s="8"/>
      <c r="Z154" s="8"/>
      <c r="AA154" s="8"/>
      <c r="AB154" s="8"/>
      <c r="AC154" s="8">
        <f t="shared" si="16"/>
        <v>0</v>
      </c>
      <c r="AD154" s="8"/>
      <c r="AE154" s="8"/>
      <c r="AF154" s="8"/>
      <c r="AG154" s="8"/>
      <c r="AH154" s="8"/>
      <c r="AI154" s="8"/>
      <c r="AJ154" s="8"/>
      <c r="AK154" s="8"/>
      <c r="AL154" s="8"/>
      <c r="AM154" s="8">
        <v>22708531</v>
      </c>
      <c r="AN154" s="8">
        <f t="shared" si="22"/>
        <v>22708531</v>
      </c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>
        <f t="shared" si="17"/>
        <v>22708531</v>
      </c>
      <c r="BD154" s="4"/>
      <c r="BE154" s="4">
        <f t="shared" si="18"/>
        <v>22708531</v>
      </c>
      <c r="BF154" s="30">
        <f t="shared" si="19"/>
        <v>22708531</v>
      </c>
      <c r="BG154" s="18">
        <f t="shared" si="20"/>
        <v>0</v>
      </c>
      <c r="BH154" s="23"/>
      <c r="BI154" s="23"/>
      <c r="BJ154" s="23"/>
    </row>
    <row r="155" spans="1:66" ht="15" customHeight="1" x14ac:dyDescent="0.2">
      <c r="A155" s="1">
        <v>8903096118</v>
      </c>
      <c r="B155" s="1">
        <v>890309611</v>
      </c>
      <c r="C155" s="15">
        <v>212676126</v>
      </c>
      <c r="D155" s="16" t="s">
        <v>919</v>
      </c>
      <c r="E155" s="41" t="s">
        <v>1981</v>
      </c>
      <c r="F155" s="28"/>
      <c r="G155" s="2"/>
      <c r="H155" s="3"/>
      <c r="I155" s="2"/>
      <c r="J155" s="29"/>
      <c r="K155" s="3"/>
      <c r="L155" s="2"/>
      <c r="M155" s="8"/>
      <c r="N155" s="3"/>
      <c r="O155" s="2"/>
      <c r="P155" s="3"/>
      <c r="Q155" s="2"/>
      <c r="R155" s="3"/>
      <c r="S155" s="3"/>
      <c r="T155" s="2"/>
      <c r="U155" s="8">
        <f t="shared" si="15"/>
        <v>0</v>
      </c>
      <c r="V155" s="8"/>
      <c r="W155" s="8"/>
      <c r="X155" s="8"/>
      <c r="Y155" s="8"/>
      <c r="Z155" s="8"/>
      <c r="AA155" s="8"/>
      <c r="AB155" s="8"/>
      <c r="AC155" s="8">
        <f t="shared" si="16"/>
        <v>0</v>
      </c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>
        <f>VLOOKUP(B155,[1]Hoja3!J$3:K$674,2,0)</f>
        <v>223741001</v>
      </c>
      <c r="BB155" s="8"/>
      <c r="BC155" s="8">
        <f t="shared" si="17"/>
        <v>223741001</v>
      </c>
      <c r="BD155" s="4"/>
      <c r="BE155" s="4">
        <f t="shared" si="18"/>
        <v>223741001</v>
      </c>
      <c r="BF155" s="30">
        <f t="shared" si="19"/>
        <v>223741001</v>
      </c>
      <c r="BG155" s="18">
        <f t="shared" si="20"/>
        <v>0</v>
      </c>
      <c r="BH155" s="23"/>
      <c r="BI155" s="23"/>
      <c r="BJ155" s="23"/>
    </row>
    <row r="156" spans="1:66" ht="15" customHeight="1" x14ac:dyDescent="0.2">
      <c r="A156" s="1">
        <v>8915012927</v>
      </c>
      <c r="B156" s="1">
        <v>891501292</v>
      </c>
      <c r="C156" s="15">
        <v>214219142</v>
      </c>
      <c r="D156" s="16" t="s">
        <v>380</v>
      </c>
      <c r="E156" s="41" t="s">
        <v>1412</v>
      </c>
      <c r="F156" s="28"/>
      <c r="G156" s="2"/>
      <c r="H156" s="3"/>
      <c r="I156" s="2"/>
      <c r="J156" s="29"/>
      <c r="K156" s="3"/>
      <c r="L156" s="2"/>
      <c r="M156" s="8"/>
      <c r="N156" s="3"/>
      <c r="O156" s="2"/>
      <c r="P156" s="3"/>
      <c r="Q156" s="2"/>
      <c r="R156" s="3"/>
      <c r="S156" s="3"/>
      <c r="T156" s="2"/>
      <c r="U156" s="8">
        <f t="shared" si="15"/>
        <v>0</v>
      </c>
      <c r="V156" s="8"/>
      <c r="W156" s="8"/>
      <c r="X156" s="8"/>
      <c r="Y156" s="8"/>
      <c r="Z156" s="8"/>
      <c r="AA156" s="8"/>
      <c r="AB156" s="8"/>
      <c r="AC156" s="8">
        <f t="shared" si="16"/>
        <v>0</v>
      </c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>
        <f>VLOOKUP(B156,[1]Hoja3!J$3:K$674,2,0)</f>
        <v>367219037</v>
      </c>
      <c r="BB156" s="8"/>
      <c r="BC156" s="8">
        <f t="shared" si="17"/>
        <v>367219037</v>
      </c>
      <c r="BD156" s="4"/>
      <c r="BE156" s="4">
        <f t="shared" si="18"/>
        <v>367219037</v>
      </c>
      <c r="BF156" s="30">
        <f t="shared" si="19"/>
        <v>367219037</v>
      </c>
      <c r="BG156" s="18">
        <f t="shared" si="20"/>
        <v>0</v>
      </c>
      <c r="BH156" s="23"/>
      <c r="BI156" s="23"/>
      <c r="BJ156" s="23"/>
    </row>
    <row r="157" spans="1:66" ht="15" customHeight="1" x14ac:dyDescent="0.2">
      <c r="A157" s="1">
        <v>8909821476</v>
      </c>
      <c r="B157" s="1">
        <v>890982147</v>
      </c>
      <c r="C157" s="15">
        <v>213405134</v>
      </c>
      <c r="D157" s="16" t="s">
        <v>68</v>
      </c>
      <c r="E157" s="41" t="s">
        <v>1099</v>
      </c>
      <c r="F157" s="28"/>
      <c r="G157" s="2"/>
      <c r="H157" s="3"/>
      <c r="I157" s="2"/>
      <c r="J157" s="29"/>
      <c r="K157" s="3"/>
      <c r="L157" s="2"/>
      <c r="M157" s="8"/>
      <c r="N157" s="3"/>
      <c r="O157" s="2"/>
      <c r="P157" s="3"/>
      <c r="Q157" s="2"/>
      <c r="R157" s="3"/>
      <c r="S157" s="3"/>
      <c r="T157" s="2"/>
      <c r="U157" s="8">
        <f t="shared" si="15"/>
        <v>0</v>
      </c>
      <c r="V157" s="8"/>
      <c r="W157" s="8"/>
      <c r="X157" s="8"/>
      <c r="Y157" s="8"/>
      <c r="Z157" s="8"/>
      <c r="AA157" s="8"/>
      <c r="AB157" s="8"/>
      <c r="AC157" s="8">
        <f t="shared" si="16"/>
        <v>0</v>
      </c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>
        <v>106404650</v>
      </c>
      <c r="AZ157" s="8"/>
      <c r="BA157" s="8">
        <f>VLOOKUP(B157,[1]Hoja3!J$3:K$674,2,0)</f>
        <v>129878524</v>
      </c>
      <c r="BB157" s="8"/>
      <c r="BC157" s="8">
        <f t="shared" si="17"/>
        <v>236283174</v>
      </c>
      <c r="BD157" s="4">
        <v>106404650</v>
      </c>
      <c r="BE157" s="4">
        <f t="shared" si="18"/>
        <v>129878524</v>
      </c>
      <c r="BF157" s="30">
        <f t="shared" si="19"/>
        <v>236283174</v>
      </c>
      <c r="BG157" s="18">
        <f t="shared" si="20"/>
        <v>0</v>
      </c>
      <c r="BH157" s="23"/>
      <c r="BI157" s="23"/>
      <c r="BJ157" s="23"/>
    </row>
    <row r="158" spans="1:66" ht="15" customHeight="1" x14ac:dyDescent="0.2">
      <c r="A158" s="1">
        <v>8000944624</v>
      </c>
      <c r="B158" s="1">
        <v>800094462</v>
      </c>
      <c r="C158" s="15">
        <v>213708137</v>
      </c>
      <c r="D158" s="16" t="s">
        <v>162</v>
      </c>
      <c r="E158" s="41" t="s">
        <v>1190</v>
      </c>
      <c r="F158" s="28"/>
      <c r="G158" s="2"/>
      <c r="H158" s="3"/>
      <c r="I158" s="2"/>
      <c r="J158" s="29"/>
      <c r="K158" s="3"/>
      <c r="L158" s="2"/>
      <c r="M158" s="8"/>
      <c r="N158" s="3"/>
      <c r="O158" s="2"/>
      <c r="P158" s="3"/>
      <c r="Q158" s="2"/>
      <c r="R158" s="3"/>
      <c r="S158" s="3"/>
      <c r="T158" s="2"/>
      <c r="U158" s="8">
        <f t="shared" si="15"/>
        <v>0</v>
      </c>
      <c r="V158" s="8"/>
      <c r="W158" s="8"/>
      <c r="X158" s="8"/>
      <c r="Y158" s="8"/>
      <c r="Z158" s="8"/>
      <c r="AA158" s="8"/>
      <c r="AB158" s="8"/>
      <c r="AC158" s="8">
        <f t="shared" si="16"/>
        <v>0</v>
      </c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>
        <v>230848555</v>
      </c>
      <c r="AZ158" s="8"/>
      <c r="BA158" s="8">
        <f>VLOOKUP(B158,[1]Hoja3!J$3:K$674,2,0)</f>
        <v>409990608</v>
      </c>
      <c r="BB158" s="8"/>
      <c r="BC158" s="8">
        <f t="shared" si="17"/>
        <v>640839163</v>
      </c>
      <c r="BD158" s="4">
        <v>230848555</v>
      </c>
      <c r="BE158" s="4">
        <f t="shared" si="18"/>
        <v>409990608</v>
      </c>
      <c r="BF158" s="30">
        <f t="shared" si="19"/>
        <v>640839163</v>
      </c>
      <c r="BG158" s="18">
        <f t="shared" si="20"/>
        <v>0</v>
      </c>
      <c r="BH158" s="23"/>
      <c r="BI158" s="23"/>
      <c r="BJ158" s="23"/>
    </row>
    <row r="159" spans="1:66" ht="15" customHeight="1" x14ac:dyDescent="0.2">
      <c r="A159" s="1">
        <v>8911181199</v>
      </c>
      <c r="B159" s="1">
        <v>891118119</v>
      </c>
      <c r="C159" s="15">
        <v>213241132</v>
      </c>
      <c r="D159" s="16" t="s">
        <v>599</v>
      </c>
      <c r="E159" s="41" t="s">
        <v>1619</v>
      </c>
      <c r="F159" s="28"/>
      <c r="G159" s="2"/>
      <c r="H159" s="3"/>
      <c r="I159" s="2"/>
      <c r="J159" s="29"/>
      <c r="K159" s="3"/>
      <c r="L159" s="2"/>
      <c r="M159" s="8"/>
      <c r="N159" s="3"/>
      <c r="O159" s="2"/>
      <c r="P159" s="3"/>
      <c r="Q159" s="2"/>
      <c r="R159" s="3"/>
      <c r="S159" s="3"/>
      <c r="T159" s="2"/>
      <c r="U159" s="8">
        <f t="shared" si="15"/>
        <v>0</v>
      </c>
      <c r="V159" s="8"/>
      <c r="W159" s="8"/>
      <c r="X159" s="8"/>
      <c r="Y159" s="8"/>
      <c r="Z159" s="8"/>
      <c r="AA159" s="8"/>
      <c r="AB159" s="8"/>
      <c r="AC159" s="8">
        <f t="shared" si="16"/>
        <v>0</v>
      </c>
      <c r="AD159" s="8"/>
      <c r="AE159" s="8"/>
      <c r="AF159" s="8"/>
      <c r="AG159" s="8"/>
      <c r="AH159" s="8"/>
      <c r="AI159" s="8"/>
      <c r="AJ159" s="8"/>
      <c r="AK159" s="8"/>
      <c r="AL159" s="8"/>
      <c r="AM159" s="8">
        <v>387416700</v>
      </c>
      <c r="AN159" s="8">
        <f>SUBTOTAL(9,AC159:AM159)</f>
        <v>387416700</v>
      </c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>
        <v>207600155</v>
      </c>
      <c r="AZ159" s="8"/>
      <c r="BA159" s="8"/>
      <c r="BB159" s="8"/>
      <c r="BC159" s="8">
        <f t="shared" si="17"/>
        <v>595016855</v>
      </c>
      <c r="BD159" s="4">
        <v>207600155</v>
      </c>
      <c r="BE159" s="4">
        <f t="shared" si="18"/>
        <v>387416700</v>
      </c>
      <c r="BF159" s="30">
        <f t="shared" si="19"/>
        <v>595016855</v>
      </c>
      <c r="BG159" s="18">
        <f t="shared" si="20"/>
        <v>0</v>
      </c>
      <c r="BH159" s="23"/>
      <c r="BI159" s="23"/>
      <c r="BJ159" s="23"/>
    </row>
    <row r="160" spans="1:66" ht="15" customHeight="1" x14ac:dyDescent="0.2">
      <c r="A160" s="1">
        <v>8000283933</v>
      </c>
      <c r="B160" s="1">
        <v>800028393</v>
      </c>
      <c r="C160" s="15">
        <v>213515135</v>
      </c>
      <c r="D160" s="16" t="s">
        <v>229</v>
      </c>
      <c r="E160" s="41" t="s">
        <v>1265</v>
      </c>
      <c r="F160" s="28"/>
      <c r="G160" s="17"/>
      <c r="H160" s="3"/>
      <c r="I160" s="2"/>
      <c r="J160" s="29"/>
      <c r="K160" s="3"/>
      <c r="L160" s="17"/>
      <c r="M160" s="34"/>
      <c r="N160" s="3"/>
      <c r="O160" s="17"/>
      <c r="P160" s="3"/>
      <c r="Q160" s="2"/>
      <c r="R160" s="3"/>
      <c r="S160" s="3"/>
      <c r="T160" s="17"/>
      <c r="U160" s="8">
        <f t="shared" si="15"/>
        <v>0</v>
      </c>
      <c r="V160" s="8"/>
      <c r="W160" s="8"/>
      <c r="X160" s="8"/>
      <c r="Y160" s="8"/>
      <c r="Z160" s="8"/>
      <c r="AA160" s="8"/>
      <c r="AB160" s="8"/>
      <c r="AC160" s="8">
        <f t="shared" si="16"/>
        <v>0</v>
      </c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>
        <v>24742295</v>
      </c>
      <c r="AZ160" s="8"/>
      <c r="BA160" s="8">
        <f>VLOOKUP(B160,[1]Hoja3!J$3:K$674,2,0)</f>
        <v>42103318</v>
      </c>
      <c r="BB160" s="8"/>
      <c r="BC160" s="8">
        <f t="shared" si="17"/>
        <v>66845613</v>
      </c>
      <c r="BD160" s="4">
        <v>24742295</v>
      </c>
      <c r="BE160" s="4">
        <f t="shared" si="18"/>
        <v>42103318</v>
      </c>
      <c r="BF160" s="30">
        <f t="shared" si="19"/>
        <v>66845613</v>
      </c>
      <c r="BG160" s="18">
        <f t="shared" si="20"/>
        <v>0</v>
      </c>
      <c r="BH160" s="23"/>
      <c r="BI160" s="23"/>
      <c r="BJ160" s="14"/>
      <c r="BK160" s="14"/>
      <c r="BL160" s="14"/>
      <c r="BM160" s="14"/>
      <c r="BN160" s="14"/>
    </row>
    <row r="161" spans="1:66" ht="15" hidden="1" customHeight="1" x14ac:dyDescent="0.2">
      <c r="A161" s="1">
        <v>8000967406</v>
      </c>
      <c r="B161" s="1">
        <v>800096740</v>
      </c>
      <c r="C161" s="15">
        <v>219023090</v>
      </c>
      <c r="D161" s="16" t="s">
        <v>439</v>
      </c>
      <c r="E161" s="41" t="s">
        <v>1466</v>
      </c>
      <c r="F161" s="28"/>
      <c r="G161" s="2"/>
      <c r="H161" s="3"/>
      <c r="I161" s="2"/>
      <c r="J161" s="29"/>
      <c r="K161" s="3"/>
      <c r="L161" s="2"/>
      <c r="M161" s="8"/>
      <c r="N161" s="3"/>
      <c r="O161" s="2"/>
      <c r="P161" s="3"/>
      <c r="Q161" s="2"/>
      <c r="R161" s="3"/>
      <c r="S161" s="3"/>
      <c r="T161" s="2"/>
      <c r="U161" s="8">
        <f t="shared" si="15"/>
        <v>0</v>
      </c>
      <c r="V161" s="8"/>
      <c r="W161" s="8"/>
      <c r="X161" s="8"/>
      <c r="Y161" s="8"/>
      <c r="Z161" s="8"/>
      <c r="AA161" s="8"/>
      <c r="AB161" s="8"/>
      <c r="AC161" s="8">
        <f t="shared" si="16"/>
        <v>0</v>
      </c>
      <c r="AD161" s="8"/>
      <c r="AE161" s="8"/>
      <c r="AF161" s="8"/>
      <c r="AG161" s="8"/>
      <c r="AH161" s="8"/>
      <c r="AI161" s="8"/>
      <c r="AJ161" s="8"/>
      <c r="AK161" s="8"/>
      <c r="AL161" s="8"/>
      <c r="AM161" s="8">
        <v>104166149</v>
      </c>
      <c r="AN161" s="8">
        <f>SUBTOTAL(9,AC161:AM161)</f>
        <v>0</v>
      </c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>
        <f>VLOOKUP(B161,'[2]anuladas en mayo gratuidad}'!K$2:L$55,2,0)</f>
        <v>104166149</v>
      </c>
      <c r="BC161" s="8">
        <f t="shared" si="17"/>
        <v>-104166149</v>
      </c>
      <c r="BD161" s="4"/>
      <c r="BE161" s="4">
        <f t="shared" si="18"/>
        <v>0</v>
      </c>
      <c r="BF161" s="30">
        <f t="shared" si="19"/>
        <v>0</v>
      </c>
      <c r="BG161" s="18">
        <f t="shared" si="20"/>
        <v>-104166149</v>
      </c>
      <c r="BH161" s="23"/>
      <c r="BI161" s="23"/>
      <c r="BJ161" s="23"/>
    </row>
    <row r="162" spans="1:66" ht="15" customHeight="1" x14ac:dyDescent="0.2">
      <c r="A162" s="1">
        <v>8909822388</v>
      </c>
      <c r="B162" s="1">
        <v>890982238</v>
      </c>
      <c r="C162" s="15">
        <v>213805138</v>
      </c>
      <c r="D162" s="16" t="s">
        <v>69</v>
      </c>
      <c r="E162" s="41" t="s">
        <v>1100</v>
      </c>
      <c r="F162" s="28"/>
      <c r="G162" s="2"/>
      <c r="H162" s="3"/>
      <c r="I162" s="2"/>
      <c r="J162" s="29"/>
      <c r="K162" s="3"/>
      <c r="L162" s="2"/>
      <c r="M162" s="8"/>
      <c r="N162" s="3"/>
      <c r="O162" s="2"/>
      <c r="P162" s="3"/>
      <c r="Q162" s="2"/>
      <c r="R162" s="3"/>
      <c r="S162" s="3"/>
      <c r="T162" s="2"/>
      <c r="U162" s="8">
        <f t="shared" si="15"/>
        <v>0</v>
      </c>
      <c r="V162" s="8"/>
      <c r="W162" s="8"/>
      <c r="X162" s="8"/>
      <c r="Y162" s="8"/>
      <c r="Z162" s="8"/>
      <c r="AA162" s="8"/>
      <c r="AB162" s="8"/>
      <c r="AC162" s="8">
        <f t="shared" si="16"/>
        <v>0</v>
      </c>
      <c r="AD162" s="8"/>
      <c r="AE162" s="8"/>
      <c r="AF162" s="8"/>
      <c r="AG162" s="8"/>
      <c r="AH162" s="8"/>
      <c r="AI162" s="8"/>
      <c r="AJ162" s="8"/>
      <c r="AK162" s="8"/>
      <c r="AL162" s="8"/>
      <c r="AM162" s="8">
        <v>24474371</v>
      </c>
      <c r="AN162" s="8">
        <f>SUBTOTAL(9,AC162:AM162)</f>
        <v>24474371</v>
      </c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>
        <v>125484560</v>
      </c>
      <c r="AZ162" s="8"/>
      <c r="BA162" s="8">
        <f>VLOOKUP(B162,[1]Hoja3!J$3:K$674,2,0)</f>
        <v>221475872</v>
      </c>
      <c r="BB162" s="8"/>
      <c r="BC162" s="8">
        <f t="shared" si="17"/>
        <v>371434803</v>
      </c>
      <c r="BD162" s="4">
        <v>125484560</v>
      </c>
      <c r="BE162" s="4">
        <f t="shared" si="18"/>
        <v>245950243</v>
      </c>
      <c r="BF162" s="30">
        <f t="shared" si="19"/>
        <v>371434803</v>
      </c>
      <c r="BG162" s="18">
        <f t="shared" si="20"/>
        <v>0</v>
      </c>
      <c r="BH162" s="23"/>
      <c r="BI162" s="23"/>
      <c r="BJ162" s="23"/>
    </row>
    <row r="163" spans="1:66" ht="15" customHeight="1" x14ac:dyDescent="0.2">
      <c r="A163" s="1">
        <v>8000944663</v>
      </c>
      <c r="B163" s="1">
        <v>800094466</v>
      </c>
      <c r="C163" s="15">
        <v>214108141</v>
      </c>
      <c r="D163" s="16" t="s">
        <v>163</v>
      </c>
      <c r="E163" s="41" t="s">
        <v>1191</v>
      </c>
      <c r="F163" s="28"/>
      <c r="G163" s="2"/>
      <c r="H163" s="3"/>
      <c r="I163" s="2"/>
      <c r="J163" s="29"/>
      <c r="K163" s="3"/>
      <c r="L163" s="2"/>
      <c r="M163" s="8"/>
      <c r="N163" s="3"/>
      <c r="O163" s="2"/>
      <c r="P163" s="3"/>
      <c r="Q163" s="2"/>
      <c r="R163" s="3"/>
      <c r="S163" s="3"/>
      <c r="T163" s="2"/>
      <c r="U163" s="8">
        <f t="shared" si="15"/>
        <v>0</v>
      </c>
      <c r="V163" s="8"/>
      <c r="W163" s="8"/>
      <c r="X163" s="8"/>
      <c r="Y163" s="8"/>
      <c r="Z163" s="8"/>
      <c r="AA163" s="8"/>
      <c r="AB163" s="8"/>
      <c r="AC163" s="8">
        <f t="shared" si="16"/>
        <v>0</v>
      </c>
      <c r="AD163" s="8"/>
      <c r="AE163" s="8"/>
      <c r="AF163" s="8"/>
      <c r="AG163" s="8"/>
      <c r="AH163" s="8"/>
      <c r="AI163" s="8"/>
      <c r="AJ163" s="8"/>
      <c r="AK163" s="8"/>
      <c r="AL163" s="8"/>
      <c r="AM163" s="8">
        <v>51693028</v>
      </c>
      <c r="AN163" s="8">
        <f>SUBTOTAL(9,AC163:AM163)</f>
        <v>51693028</v>
      </c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>
        <v>177701795</v>
      </c>
      <c r="AZ163" s="8"/>
      <c r="BA163" s="8">
        <f>VLOOKUP(B163,[1]Hoja3!J$3:K$674,2,0)</f>
        <v>187374069</v>
      </c>
      <c r="BB163" s="8"/>
      <c r="BC163" s="8">
        <f t="shared" si="17"/>
        <v>416768892</v>
      </c>
      <c r="BD163" s="4">
        <v>177701795</v>
      </c>
      <c r="BE163" s="4">
        <f t="shared" si="18"/>
        <v>239067097</v>
      </c>
      <c r="BF163" s="30">
        <f t="shared" si="19"/>
        <v>416768892</v>
      </c>
      <c r="BG163" s="18">
        <f t="shared" si="20"/>
        <v>0</v>
      </c>
      <c r="BH163" s="23"/>
      <c r="BI163" s="23"/>
      <c r="BJ163" s="23"/>
    </row>
    <row r="164" spans="1:66" ht="15" customHeight="1" x14ac:dyDescent="0.2">
      <c r="A164" s="1">
        <v>8913800381</v>
      </c>
      <c r="B164" s="1">
        <v>891380038</v>
      </c>
      <c r="C164" s="15">
        <v>213076130</v>
      </c>
      <c r="D164" s="16" t="s">
        <v>920</v>
      </c>
      <c r="E164" s="41" t="s">
        <v>2093</v>
      </c>
      <c r="F164" s="28"/>
      <c r="G164" s="17"/>
      <c r="H164" s="3"/>
      <c r="I164" s="2"/>
      <c r="J164" s="29"/>
      <c r="K164" s="3"/>
      <c r="L164" s="17"/>
      <c r="M164" s="34"/>
      <c r="N164" s="3"/>
      <c r="O164" s="17"/>
      <c r="P164" s="3"/>
      <c r="Q164" s="2"/>
      <c r="R164" s="3"/>
      <c r="S164" s="3"/>
      <c r="T164" s="17"/>
      <c r="U164" s="8">
        <f t="shared" si="15"/>
        <v>0</v>
      </c>
      <c r="V164" s="8"/>
      <c r="W164" s="8"/>
      <c r="X164" s="8"/>
      <c r="Y164" s="8"/>
      <c r="Z164" s="8"/>
      <c r="AA164" s="8"/>
      <c r="AB164" s="8"/>
      <c r="AC164" s="8">
        <f t="shared" si="16"/>
        <v>0</v>
      </c>
      <c r="AD164" s="8"/>
      <c r="AE164" s="8"/>
      <c r="AF164" s="8"/>
      <c r="AG164" s="8"/>
      <c r="AH164" s="8"/>
      <c r="AI164" s="8"/>
      <c r="AJ164" s="8"/>
      <c r="AK164" s="8"/>
      <c r="AL164" s="8"/>
      <c r="AM164" s="8">
        <v>770889314</v>
      </c>
      <c r="AN164" s="8">
        <f>SUBTOTAL(9,AC164:AM164)</f>
        <v>770889314</v>
      </c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>
        <v>378969340</v>
      </c>
      <c r="AZ164" s="8"/>
      <c r="BA164" s="8">
        <f>VLOOKUP(B164,[1]Hoja3!J$3:K$674,2,0)</f>
        <v>206399806</v>
      </c>
      <c r="BB164" s="8"/>
      <c r="BC164" s="8">
        <f t="shared" si="17"/>
        <v>1356258460</v>
      </c>
      <c r="BD164" s="4">
        <v>378969340</v>
      </c>
      <c r="BE164" s="4">
        <f t="shared" si="18"/>
        <v>977289120</v>
      </c>
      <c r="BF164" s="30">
        <f t="shared" si="19"/>
        <v>1356258460</v>
      </c>
      <c r="BG164" s="18">
        <f t="shared" si="20"/>
        <v>0</v>
      </c>
      <c r="BH164" s="23"/>
      <c r="BI164" s="23"/>
      <c r="BJ164" s="14"/>
      <c r="BK164" s="14"/>
      <c r="BL164" s="14"/>
      <c r="BM164" s="14"/>
      <c r="BN164" s="14"/>
    </row>
    <row r="165" spans="1:66" ht="15" customHeight="1" x14ac:dyDescent="0.2">
      <c r="A165" s="1">
        <v>8002535261</v>
      </c>
      <c r="B165" s="1">
        <v>800253526</v>
      </c>
      <c r="C165" s="15">
        <v>216013160</v>
      </c>
      <c r="D165" s="16" t="s">
        <v>187</v>
      </c>
      <c r="E165" s="41" t="s">
        <v>1217</v>
      </c>
      <c r="F165" s="28"/>
      <c r="G165" s="17"/>
      <c r="H165" s="3"/>
      <c r="I165" s="2"/>
      <c r="J165" s="29"/>
      <c r="K165" s="3"/>
      <c r="L165" s="17"/>
      <c r="M165" s="34"/>
      <c r="N165" s="3"/>
      <c r="O165" s="17"/>
      <c r="P165" s="3"/>
      <c r="Q165" s="2"/>
      <c r="R165" s="3"/>
      <c r="S165" s="3"/>
      <c r="T165" s="17"/>
      <c r="U165" s="8">
        <f t="shared" si="15"/>
        <v>0</v>
      </c>
      <c r="V165" s="8"/>
      <c r="W165" s="8"/>
      <c r="X165" s="8"/>
      <c r="Y165" s="8"/>
      <c r="Z165" s="8"/>
      <c r="AA165" s="8"/>
      <c r="AB165" s="8"/>
      <c r="AC165" s="8">
        <f t="shared" si="16"/>
        <v>0</v>
      </c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>
        <v>100282730</v>
      </c>
      <c r="AZ165" s="8"/>
      <c r="BA165" s="8">
        <f>VLOOKUP(B165,[1]Hoja3!J$3:K$674,2,0)</f>
        <v>103286409</v>
      </c>
      <c r="BB165" s="8"/>
      <c r="BC165" s="8">
        <f t="shared" si="17"/>
        <v>203569139</v>
      </c>
      <c r="BD165" s="4">
        <v>100282730</v>
      </c>
      <c r="BE165" s="4">
        <f t="shared" si="18"/>
        <v>103286409</v>
      </c>
      <c r="BF165" s="30">
        <f t="shared" si="19"/>
        <v>203569139</v>
      </c>
      <c r="BG165" s="18">
        <f t="shared" si="20"/>
        <v>0</v>
      </c>
      <c r="BH165" s="23"/>
      <c r="BI165" s="23"/>
      <c r="BJ165" s="14"/>
      <c r="BK165" s="14"/>
      <c r="BL165" s="14"/>
      <c r="BM165" s="14"/>
      <c r="BN165" s="14"/>
    </row>
    <row r="166" spans="1:66" ht="15" customHeight="1" x14ac:dyDescent="0.2">
      <c r="A166" s="1">
        <v>8002394145</v>
      </c>
      <c r="B166" s="1">
        <v>800239414</v>
      </c>
      <c r="C166" s="15">
        <v>213527135</v>
      </c>
      <c r="D166" s="16" t="s">
        <v>574</v>
      </c>
      <c r="E166" s="41" t="s">
        <v>1594</v>
      </c>
      <c r="F166" s="28"/>
      <c r="G166" s="2"/>
      <c r="H166" s="3"/>
      <c r="I166" s="2"/>
      <c r="J166" s="29"/>
      <c r="K166" s="3"/>
      <c r="L166" s="2"/>
      <c r="M166" s="8"/>
      <c r="N166" s="3"/>
      <c r="O166" s="2"/>
      <c r="P166" s="3"/>
      <c r="Q166" s="2"/>
      <c r="R166" s="3"/>
      <c r="S166" s="3"/>
      <c r="T166" s="2"/>
      <c r="U166" s="8">
        <f t="shared" si="15"/>
        <v>0</v>
      </c>
      <c r="V166" s="8"/>
      <c r="W166" s="8"/>
      <c r="X166" s="8"/>
      <c r="Y166" s="8"/>
      <c r="Z166" s="8"/>
      <c r="AA166" s="8"/>
      <c r="AB166" s="8"/>
      <c r="AC166" s="8">
        <f t="shared" si="16"/>
        <v>0</v>
      </c>
      <c r="AD166" s="8"/>
      <c r="AE166" s="8"/>
      <c r="AF166" s="8"/>
      <c r="AG166" s="8"/>
      <c r="AH166" s="8"/>
      <c r="AI166" s="8"/>
      <c r="AJ166" s="8"/>
      <c r="AK166" s="8"/>
      <c r="AL166" s="8"/>
      <c r="AM166" s="8">
        <v>113439136</v>
      </c>
      <c r="AN166" s="8">
        <f>SUBTOTAL(9,AC166:AM166)</f>
        <v>113439136</v>
      </c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>
        <v>67523330</v>
      </c>
      <c r="AZ166" s="8"/>
      <c r="BA166" s="8"/>
      <c r="BB166" s="8"/>
      <c r="BC166" s="8">
        <f t="shared" si="17"/>
        <v>180962466</v>
      </c>
      <c r="BD166" s="4">
        <v>67523330</v>
      </c>
      <c r="BE166" s="4">
        <f t="shared" si="18"/>
        <v>113439136</v>
      </c>
      <c r="BF166" s="30">
        <f t="shared" si="19"/>
        <v>180962466</v>
      </c>
      <c r="BG166" s="18">
        <f t="shared" si="20"/>
        <v>0</v>
      </c>
      <c r="BH166" s="23"/>
      <c r="BI166" s="23"/>
      <c r="BJ166" s="23"/>
    </row>
    <row r="167" spans="1:66" ht="15" customHeight="1" x14ac:dyDescent="0.2">
      <c r="A167" s="1">
        <v>8999997100</v>
      </c>
      <c r="B167" s="1">
        <v>899999710</v>
      </c>
      <c r="C167" s="15">
        <v>214825148</v>
      </c>
      <c r="D167" s="16" t="s">
        <v>471</v>
      </c>
      <c r="E167" s="41" t="s">
        <v>1497</v>
      </c>
      <c r="F167" s="28"/>
      <c r="G167" s="2"/>
      <c r="H167" s="3"/>
      <c r="I167" s="2"/>
      <c r="J167" s="29"/>
      <c r="K167" s="3"/>
      <c r="L167" s="2"/>
      <c r="M167" s="8"/>
      <c r="N167" s="3"/>
      <c r="O167" s="2"/>
      <c r="P167" s="3"/>
      <c r="Q167" s="2"/>
      <c r="R167" s="3"/>
      <c r="S167" s="3"/>
      <c r="T167" s="2"/>
      <c r="U167" s="8">
        <f t="shared" si="15"/>
        <v>0</v>
      </c>
      <c r="V167" s="8"/>
      <c r="W167" s="8"/>
      <c r="X167" s="8"/>
      <c r="Y167" s="8"/>
      <c r="Z167" s="8"/>
      <c r="AA167" s="8"/>
      <c r="AB167" s="8"/>
      <c r="AC167" s="8">
        <f t="shared" si="16"/>
        <v>0</v>
      </c>
      <c r="AD167" s="8"/>
      <c r="AE167" s="8"/>
      <c r="AF167" s="8"/>
      <c r="AG167" s="8"/>
      <c r="AH167" s="8"/>
      <c r="AI167" s="8"/>
      <c r="AJ167" s="8"/>
      <c r="AK167" s="8"/>
      <c r="AL167" s="8"/>
      <c r="AM167" s="8">
        <v>175048135</v>
      </c>
      <c r="AN167" s="8">
        <f>SUBTOTAL(9,AC167:AM167)</f>
        <v>175048135</v>
      </c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>
        <f t="shared" si="17"/>
        <v>175048135</v>
      </c>
      <c r="BD167" s="4"/>
      <c r="BE167" s="4">
        <f t="shared" si="18"/>
        <v>175048135</v>
      </c>
      <c r="BF167" s="30">
        <f t="shared" si="19"/>
        <v>175048135</v>
      </c>
      <c r="BG167" s="18">
        <f t="shared" si="20"/>
        <v>0</v>
      </c>
      <c r="BH167" s="23"/>
      <c r="BI167" s="23"/>
      <c r="BJ167" s="23"/>
    </row>
    <row r="168" spans="1:66" ht="15" customHeight="1" x14ac:dyDescent="0.2">
      <c r="A168" s="1">
        <v>8902051198</v>
      </c>
      <c r="B168" s="1">
        <v>890205119</v>
      </c>
      <c r="C168" s="15">
        <v>214768147</v>
      </c>
      <c r="D168" s="16" t="s">
        <v>821</v>
      </c>
      <c r="E168" s="41" t="s">
        <v>2062</v>
      </c>
      <c r="F168" s="28"/>
      <c r="G168" s="2"/>
      <c r="H168" s="3"/>
      <c r="I168" s="2"/>
      <c r="J168" s="29"/>
      <c r="K168" s="3"/>
      <c r="L168" s="2"/>
      <c r="M168" s="8"/>
      <c r="N168" s="3"/>
      <c r="O168" s="2"/>
      <c r="P168" s="3"/>
      <c r="Q168" s="2"/>
      <c r="R168" s="3"/>
      <c r="S168" s="3"/>
      <c r="T168" s="2"/>
      <c r="U168" s="8">
        <f t="shared" si="15"/>
        <v>0</v>
      </c>
      <c r="V168" s="8"/>
      <c r="W168" s="8"/>
      <c r="X168" s="8"/>
      <c r="Y168" s="8"/>
      <c r="Z168" s="8"/>
      <c r="AA168" s="8"/>
      <c r="AB168" s="8"/>
      <c r="AC168" s="8">
        <f t="shared" si="16"/>
        <v>0</v>
      </c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>
        <v>43093370</v>
      </c>
      <c r="AZ168" s="8"/>
      <c r="BA168" s="8">
        <f>VLOOKUP(B168,[1]Hoja3!J$3:K$674,2,0)</f>
        <v>75217651</v>
      </c>
      <c r="BB168" s="8"/>
      <c r="BC168" s="8">
        <f t="shared" si="17"/>
        <v>118311021</v>
      </c>
      <c r="BD168" s="4">
        <v>43093370</v>
      </c>
      <c r="BE168" s="4">
        <f t="shared" si="18"/>
        <v>75217651</v>
      </c>
      <c r="BF168" s="30">
        <f t="shared" si="19"/>
        <v>118311021</v>
      </c>
      <c r="BG168" s="18">
        <f t="shared" si="20"/>
        <v>0</v>
      </c>
      <c r="BH168" s="23"/>
      <c r="BI168" s="23"/>
      <c r="BJ168" s="23"/>
    </row>
    <row r="169" spans="1:66" ht="15" customHeight="1" x14ac:dyDescent="0.2">
      <c r="A169" s="1">
        <v>8999994629</v>
      </c>
      <c r="B169" s="1">
        <v>899999462</v>
      </c>
      <c r="C169" s="15">
        <v>215125151</v>
      </c>
      <c r="D169" s="16" t="s">
        <v>472</v>
      </c>
      <c r="E169" s="41" t="s">
        <v>1498</v>
      </c>
      <c r="F169" s="28"/>
      <c r="G169" s="2"/>
      <c r="H169" s="3"/>
      <c r="I169" s="2"/>
      <c r="J169" s="29"/>
      <c r="K169" s="3"/>
      <c r="L169" s="2"/>
      <c r="M169" s="8"/>
      <c r="N169" s="3"/>
      <c r="O169" s="2"/>
      <c r="P169" s="3"/>
      <c r="Q169" s="2"/>
      <c r="R169" s="3"/>
      <c r="S169" s="3"/>
      <c r="T169" s="2"/>
      <c r="U169" s="8">
        <f t="shared" si="15"/>
        <v>0</v>
      </c>
      <c r="V169" s="8"/>
      <c r="W169" s="8"/>
      <c r="X169" s="8"/>
      <c r="Y169" s="8"/>
      <c r="Z169" s="8"/>
      <c r="AA169" s="8"/>
      <c r="AB169" s="8"/>
      <c r="AC169" s="8">
        <f t="shared" si="16"/>
        <v>0</v>
      </c>
      <c r="AD169" s="8"/>
      <c r="AE169" s="8"/>
      <c r="AF169" s="8"/>
      <c r="AG169" s="8"/>
      <c r="AH169" s="8"/>
      <c r="AI169" s="8"/>
      <c r="AJ169" s="8"/>
      <c r="AK169" s="8"/>
      <c r="AL169" s="8"/>
      <c r="AM169" s="8">
        <v>114631388</v>
      </c>
      <c r="AN169" s="8">
        <f>SUBTOTAL(9,AC169:AM169)</f>
        <v>114631388</v>
      </c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>
        <v>108099630</v>
      </c>
      <c r="AZ169" s="8"/>
      <c r="BA169" s="8">
        <f>VLOOKUP(B169,[1]Hoja3!J$3:K$674,2,0)</f>
        <v>122808416</v>
      </c>
      <c r="BB169" s="8"/>
      <c r="BC169" s="8">
        <f t="shared" si="17"/>
        <v>345539434</v>
      </c>
      <c r="BD169" s="4">
        <v>108099630</v>
      </c>
      <c r="BE169" s="4">
        <f t="shared" si="18"/>
        <v>237439804</v>
      </c>
      <c r="BF169" s="30">
        <f t="shared" si="19"/>
        <v>345539434</v>
      </c>
      <c r="BG169" s="18">
        <f t="shared" si="20"/>
        <v>0</v>
      </c>
      <c r="BH169" s="23"/>
      <c r="BI169" s="23"/>
      <c r="BJ169" s="23"/>
    </row>
    <row r="170" spans="1:66" ht="15" customHeight="1" x14ac:dyDescent="0.2">
      <c r="A170" s="1">
        <v>8909811077</v>
      </c>
      <c r="B170" s="1">
        <v>890981107</v>
      </c>
      <c r="C170" s="15">
        <v>214205142</v>
      </c>
      <c r="D170" s="16" t="s">
        <v>70</v>
      </c>
      <c r="E170" s="41" t="s">
        <v>1101</v>
      </c>
      <c r="F170" s="28"/>
      <c r="G170" s="2"/>
      <c r="H170" s="3"/>
      <c r="I170" s="2"/>
      <c r="J170" s="29"/>
      <c r="K170" s="3"/>
      <c r="L170" s="2"/>
      <c r="M170" s="8"/>
      <c r="N170" s="3"/>
      <c r="O170" s="2"/>
      <c r="P170" s="3"/>
      <c r="Q170" s="2"/>
      <c r="R170" s="3"/>
      <c r="S170" s="3"/>
      <c r="T170" s="2"/>
      <c r="U170" s="8">
        <f t="shared" si="15"/>
        <v>0</v>
      </c>
      <c r="V170" s="8"/>
      <c r="W170" s="8"/>
      <c r="X170" s="8"/>
      <c r="Y170" s="8"/>
      <c r="Z170" s="8"/>
      <c r="AA170" s="8"/>
      <c r="AB170" s="8"/>
      <c r="AC170" s="8">
        <f t="shared" si="16"/>
        <v>0</v>
      </c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>
        <f>VLOOKUP(B170,[1]Hoja3!J$3:K$674,2,0)</f>
        <v>49089568</v>
      </c>
      <c r="BB170" s="8"/>
      <c r="BC170" s="8">
        <f t="shared" si="17"/>
        <v>49089568</v>
      </c>
      <c r="BD170" s="4"/>
      <c r="BE170" s="4">
        <f t="shared" si="18"/>
        <v>49089568</v>
      </c>
      <c r="BF170" s="30">
        <f t="shared" si="19"/>
        <v>49089568</v>
      </c>
      <c r="BG170" s="18">
        <f t="shared" si="20"/>
        <v>0</v>
      </c>
      <c r="BH170" s="23"/>
      <c r="BI170" s="23"/>
      <c r="BJ170" s="23"/>
    </row>
    <row r="171" spans="1:66" ht="15" customHeight="1" x14ac:dyDescent="0.2">
      <c r="A171" s="1">
        <v>8909841325</v>
      </c>
      <c r="B171" s="1">
        <v>890984132</v>
      </c>
      <c r="C171" s="15">
        <v>214505145</v>
      </c>
      <c r="D171" s="16" t="s">
        <v>71</v>
      </c>
      <c r="E171" s="41" t="s">
        <v>1102</v>
      </c>
      <c r="F171" s="28"/>
      <c r="G171" s="2"/>
      <c r="H171" s="3"/>
      <c r="I171" s="2"/>
      <c r="J171" s="29"/>
      <c r="K171" s="3"/>
      <c r="L171" s="2"/>
      <c r="M171" s="8"/>
      <c r="N171" s="3"/>
      <c r="O171" s="2"/>
      <c r="P171" s="3"/>
      <c r="Q171" s="2"/>
      <c r="R171" s="3"/>
      <c r="S171" s="3"/>
      <c r="T171" s="2"/>
      <c r="U171" s="8">
        <f t="shared" si="15"/>
        <v>0</v>
      </c>
      <c r="V171" s="8"/>
      <c r="W171" s="8"/>
      <c r="X171" s="8"/>
      <c r="Y171" s="8"/>
      <c r="Z171" s="8"/>
      <c r="AA171" s="8"/>
      <c r="AB171" s="8"/>
      <c r="AC171" s="8">
        <f t="shared" si="16"/>
        <v>0</v>
      </c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>
        <v>33815125</v>
      </c>
      <c r="AZ171" s="8"/>
      <c r="BA171" s="8">
        <f>VLOOKUP(B171,[1]Hoja3!J$3:K$674,2,0)</f>
        <v>63100575</v>
      </c>
      <c r="BB171" s="8"/>
      <c r="BC171" s="8">
        <f t="shared" si="17"/>
        <v>96915700</v>
      </c>
      <c r="BD171" s="4">
        <v>33815125</v>
      </c>
      <c r="BE171" s="4">
        <f t="shared" si="18"/>
        <v>63100575</v>
      </c>
      <c r="BF171" s="30">
        <f t="shared" si="19"/>
        <v>96915700</v>
      </c>
      <c r="BG171" s="18">
        <f t="shared" si="20"/>
        <v>0</v>
      </c>
      <c r="BH171" s="23"/>
      <c r="BI171" s="23"/>
      <c r="BJ171" s="23"/>
    </row>
    <row r="172" spans="1:66" ht="15" customHeight="1" x14ac:dyDescent="0.2">
      <c r="A172" s="1">
        <v>8902109337</v>
      </c>
      <c r="B172" s="1">
        <v>890210933</v>
      </c>
      <c r="C172" s="15">
        <v>215268152</v>
      </c>
      <c r="D172" s="16" t="s">
        <v>822</v>
      </c>
      <c r="E172" s="41" t="s">
        <v>1839</v>
      </c>
      <c r="F172" s="28"/>
      <c r="G172" s="2"/>
      <c r="H172" s="3"/>
      <c r="I172" s="2"/>
      <c r="J172" s="29"/>
      <c r="K172" s="3"/>
      <c r="L172" s="2"/>
      <c r="M172" s="8"/>
      <c r="N172" s="3"/>
      <c r="O172" s="2"/>
      <c r="P172" s="3"/>
      <c r="Q172" s="2"/>
      <c r="R172" s="3"/>
      <c r="S172" s="3"/>
      <c r="T172" s="2"/>
      <c r="U172" s="8">
        <f t="shared" si="15"/>
        <v>0</v>
      </c>
      <c r="V172" s="8"/>
      <c r="W172" s="8"/>
      <c r="X172" s="8"/>
      <c r="Y172" s="8"/>
      <c r="Z172" s="8"/>
      <c r="AA172" s="8"/>
      <c r="AB172" s="8"/>
      <c r="AC172" s="8">
        <f t="shared" si="16"/>
        <v>0</v>
      </c>
      <c r="AD172" s="8"/>
      <c r="AE172" s="8"/>
      <c r="AF172" s="8"/>
      <c r="AG172" s="8"/>
      <c r="AH172" s="8"/>
      <c r="AI172" s="8"/>
      <c r="AJ172" s="8"/>
      <c r="AK172" s="8"/>
      <c r="AL172" s="8"/>
      <c r="AM172" s="8">
        <v>74371193</v>
      </c>
      <c r="AN172" s="8">
        <f t="shared" ref="AN172:AN177" si="23">SUBTOTAL(9,AC172:AM172)</f>
        <v>74371193</v>
      </c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>
        <v>44325770</v>
      </c>
      <c r="AZ172" s="8"/>
      <c r="BA172" s="8"/>
      <c r="BB172" s="8"/>
      <c r="BC172" s="8">
        <f t="shared" si="17"/>
        <v>118696963</v>
      </c>
      <c r="BD172" s="4">
        <v>44325770</v>
      </c>
      <c r="BE172" s="4">
        <f t="shared" si="18"/>
        <v>74371193</v>
      </c>
      <c r="BF172" s="30">
        <f t="shared" si="19"/>
        <v>118696963</v>
      </c>
      <c r="BG172" s="18">
        <f t="shared" si="20"/>
        <v>0</v>
      </c>
      <c r="BH172" s="23"/>
      <c r="BI172" s="23"/>
      <c r="BJ172" s="23"/>
    </row>
    <row r="173" spans="1:66" ht="15" customHeight="1" x14ac:dyDescent="0.2">
      <c r="A173" s="1">
        <v>8909853168</v>
      </c>
      <c r="B173" s="1">
        <v>890985316</v>
      </c>
      <c r="C173" s="15">
        <v>214705147</v>
      </c>
      <c r="D173" s="16" t="s">
        <v>72</v>
      </c>
      <c r="E173" s="41" t="s">
        <v>1103</v>
      </c>
      <c r="F173" s="28"/>
      <c r="G173" s="2"/>
      <c r="H173" s="3"/>
      <c r="I173" s="2"/>
      <c r="J173" s="29"/>
      <c r="K173" s="3"/>
      <c r="L173" s="2"/>
      <c r="M173" s="8"/>
      <c r="N173" s="3"/>
      <c r="O173" s="2"/>
      <c r="P173" s="3"/>
      <c r="Q173" s="2"/>
      <c r="R173" s="3"/>
      <c r="S173" s="3"/>
      <c r="T173" s="2"/>
      <c r="U173" s="8">
        <f t="shared" si="15"/>
        <v>0</v>
      </c>
      <c r="V173" s="8"/>
      <c r="W173" s="8"/>
      <c r="X173" s="8"/>
      <c r="Y173" s="8"/>
      <c r="Z173" s="8"/>
      <c r="AA173" s="8"/>
      <c r="AB173" s="8"/>
      <c r="AC173" s="8">
        <f t="shared" si="16"/>
        <v>0</v>
      </c>
      <c r="AD173" s="8"/>
      <c r="AE173" s="8"/>
      <c r="AF173" s="8"/>
      <c r="AG173" s="8"/>
      <c r="AH173" s="8"/>
      <c r="AI173" s="8"/>
      <c r="AJ173" s="8"/>
      <c r="AK173" s="8"/>
      <c r="AL173" s="8"/>
      <c r="AM173" s="8">
        <v>667447437</v>
      </c>
      <c r="AN173" s="8">
        <f t="shared" si="23"/>
        <v>667447437</v>
      </c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>
        <v>431824740</v>
      </c>
      <c r="AZ173" s="8"/>
      <c r="BA173" s="8"/>
      <c r="BB173" s="8"/>
      <c r="BC173" s="8">
        <f t="shared" si="17"/>
        <v>1099272177</v>
      </c>
      <c r="BD173" s="4">
        <v>431824740</v>
      </c>
      <c r="BE173" s="4">
        <f t="shared" si="18"/>
        <v>667447437</v>
      </c>
      <c r="BF173" s="30">
        <f t="shared" si="19"/>
        <v>1099272177</v>
      </c>
      <c r="BG173" s="18">
        <f t="shared" si="20"/>
        <v>0</v>
      </c>
      <c r="BH173" s="23"/>
      <c r="BI173" s="23"/>
      <c r="BJ173" s="23"/>
    </row>
    <row r="174" spans="1:66" ht="15" customHeight="1" x14ac:dyDescent="0.2">
      <c r="A174" s="1">
        <v>8001000501</v>
      </c>
      <c r="B174" s="1">
        <v>800100050</v>
      </c>
      <c r="C174" s="15">
        <v>214873148</v>
      </c>
      <c r="D174" s="16" t="s">
        <v>2249</v>
      </c>
      <c r="E174" s="41" t="s">
        <v>1936</v>
      </c>
      <c r="F174" s="28"/>
      <c r="G174" s="2"/>
      <c r="H174" s="3"/>
      <c r="I174" s="2"/>
      <c r="J174" s="29"/>
      <c r="K174" s="3"/>
      <c r="L174" s="2"/>
      <c r="M174" s="8"/>
      <c r="N174" s="3"/>
      <c r="O174" s="2"/>
      <c r="P174" s="3"/>
      <c r="Q174" s="2"/>
      <c r="R174" s="3"/>
      <c r="S174" s="3"/>
      <c r="T174" s="2"/>
      <c r="U174" s="8">
        <f t="shared" si="15"/>
        <v>0</v>
      </c>
      <c r="V174" s="8"/>
      <c r="W174" s="8"/>
      <c r="X174" s="8"/>
      <c r="Y174" s="8"/>
      <c r="Z174" s="8"/>
      <c r="AA174" s="8"/>
      <c r="AB174" s="8"/>
      <c r="AC174" s="8">
        <f t="shared" si="16"/>
        <v>0</v>
      </c>
      <c r="AD174" s="8"/>
      <c r="AE174" s="8"/>
      <c r="AF174" s="8"/>
      <c r="AG174" s="8"/>
      <c r="AH174" s="8"/>
      <c r="AI174" s="8"/>
      <c r="AJ174" s="8"/>
      <c r="AK174" s="8"/>
      <c r="AL174" s="8"/>
      <c r="AM174" s="8">
        <v>155836139</v>
      </c>
      <c r="AN174" s="8">
        <f t="shared" si="23"/>
        <v>155836139</v>
      </c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>
        <v>51522170</v>
      </c>
      <c r="AZ174" s="8"/>
      <c r="BA174" s="8"/>
      <c r="BB174" s="8"/>
      <c r="BC174" s="8">
        <f t="shared" si="17"/>
        <v>207358309</v>
      </c>
      <c r="BD174" s="4">
        <v>51522170</v>
      </c>
      <c r="BE174" s="4">
        <f t="shared" si="18"/>
        <v>155836139</v>
      </c>
      <c r="BF174" s="30">
        <f t="shared" si="19"/>
        <v>207358309</v>
      </c>
      <c r="BG174" s="18">
        <f t="shared" si="20"/>
        <v>0</v>
      </c>
      <c r="BH174" s="23"/>
      <c r="BI174" s="23"/>
      <c r="BJ174" s="23"/>
    </row>
    <row r="175" spans="1:66" ht="15" customHeight="1" x14ac:dyDescent="0.2">
      <c r="A175" s="1">
        <v>8999993677</v>
      </c>
      <c r="B175" s="1">
        <v>899999367</v>
      </c>
      <c r="C175" s="15">
        <v>215425154</v>
      </c>
      <c r="D175" s="16" t="s">
        <v>473</v>
      </c>
      <c r="E175" s="41" t="s">
        <v>1499</v>
      </c>
      <c r="F175" s="28"/>
      <c r="G175" s="2"/>
      <c r="H175" s="3"/>
      <c r="I175" s="2"/>
      <c r="J175" s="29"/>
      <c r="K175" s="3"/>
      <c r="L175" s="2"/>
      <c r="M175" s="8"/>
      <c r="N175" s="3"/>
      <c r="O175" s="2"/>
      <c r="P175" s="3"/>
      <c r="Q175" s="2"/>
      <c r="R175" s="3"/>
      <c r="S175" s="3"/>
      <c r="T175" s="2"/>
      <c r="U175" s="8">
        <f t="shared" si="15"/>
        <v>0</v>
      </c>
      <c r="V175" s="8"/>
      <c r="W175" s="8"/>
      <c r="X175" s="8"/>
      <c r="Y175" s="8"/>
      <c r="Z175" s="8"/>
      <c r="AA175" s="8"/>
      <c r="AB175" s="8"/>
      <c r="AC175" s="8">
        <f t="shared" si="16"/>
        <v>0</v>
      </c>
      <c r="AD175" s="8"/>
      <c r="AE175" s="8"/>
      <c r="AF175" s="8"/>
      <c r="AG175" s="8"/>
      <c r="AH175" s="8"/>
      <c r="AI175" s="8"/>
      <c r="AJ175" s="8"/>
      <c r="AK175" s="8"/>
      <c r="AL175" s="8"/>
      <c r="AM175" s="8">
        <v>103222291</v>
      </c>
      <c r="AN175" s="8">
        <f t="shared" si="23"/>
        <v>103222291</v>
      </c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>
        <f t="shared" si="17"/>
        <v>103222291</v>
      </c>
      <c r="BD175" s="4"/>
      <c r="BE175" s="4">
        <f t="shared" si="18"/>
        <v>103222291</v>
      </c>
      <c r="BF175" s="30">
        <f t="shared" si="19"/>
        <v>103222291</v>
      </c>
      <c r="BG175" s="18">
        <f t="shared" si="20"/>
        <v>0</v>
      </c>
      <c r="BH175" s="23"/>
      <c r="BI175" s="23"/>
      <c r="BJ175" s="23"/>
    </row>
    <row r="176" spans="1:66" ht="15" customHeight="1" x14ac:dyDescent="0.2">
      <c r="A176" s="1">
        <v>8909826169</v>
      </c>
      <c r="B176" s="1">
        <v>890982616</v>
      </c>
      <c r="C176" s="15">
        <v>214805148</v>
      </c>
      <c r="D176" s="16" t="s">
        <v>73</v>
      </c>
      <c r="E176" s="41" t="s">
        <v>1104</v>
      </c>
      <c r="F176" s="28"/>
      <c r="G176" s="2"/>
      <c r="H176" s="3"/>
      <c r="I176" s="2"/>
      <c r="J176" s="29"/>
      <c r="K176" s="3"/>
      <c r="L176" s="2"/>
      <c r="M176" s="8"/>
      <c r="N176" s="3"/>
      <c r="O176" s="2"/>
      <c r="P176" s="3"/>
      <c r="Q176" s="2"/>
      <c r="R176" s="3"/>
      <c r="S176" s="3"/>
      <c r="T176" s="2"/>
      <c r="U176" s="8">
        <f t="shared" si="15"/>
        <v>0</v>
      </c>
      <c r="V176" s="8"/>
      <c r="W176" s="8"/>
      <c r="X176" s="8"/>
      <c r="Y176" s="8"/>
      <c r="Z176" s="8"/>
      <c r="AA176" s="8"/>
      <c r="AB176" s="8"/>
      <c r="AC176" s="8">
        <f t="shared" si="16"/>
        <v>0</v>
      </c>
      <c r="AD176" s="8"/>
      <c r="AE176" s="8"/>
      <c r="AF176" s="8"/>
      <c r="AG176" s="8"/>
      <c r="AH176" s="8"/>
      <c r="AI176" s="8"/>
      <c r="AJ176" s="8"/>
      <c r="AK176" s="8"/>
      <c r="AL176" s="8"/>
      <c r="AM176" s="8">
        <v>654419945</v>
      </c>
      <c r="AN176" s="8">
        <f t="shared" si="23"/>
        <v>654419945</v>
      </c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>
        <v>241289830</v>
      </c>
      <c r="AZ176" s="8"/>
      <c r="BA176" s="8">
        <f>VLOOKUP(B176,[1]Hoja3!J$3:K$674,2,0)</f>
        <v>49914936</v>
      </c>
      <c r="BB176" s="8"/>
      <c r="BC176" s="8">
        <f t="shared" si="17"/>
        <v>945624711</v>
      </c>
      <c r="BD176" s="4">
        <v>241289830</v>
      </c>
      <c r="BE176" s="4">
        <f t="shared" si="18"/>
        <v>704334881</v>
      </c>
      <c r="BF176" s="30">
        <f t="shared" si="19"/>
        <v>945624711</v>
      </c>
      <c r="BG176" s="18">
        <f t="shared" si="20"/>
        <v>0</v>
      </c>
      <c r="BH176" s="23"/>
      <c r="BI176" s="23"/>
      <c r="BJ176" s="23"/>
    </row>
    <row r="177" spans="1:66" ht="15" customHeight="1" x14ac:dyDescent="0.2">
      <c r="A177" s="1">
        <v>8180013419</v>
      </c>
      <c r="B177" s="1">
        <v>818001341</v>
      </c>
      <c r="C177" s="15">
        <v>215027150</v>
      </c>
      <c r="D177" s="16" t="s">
        <v>575</v>
      </c>
      <c r="E177" s="41" t="s">
        <v>1595</v>
      </c>
      <c r="F177" s="28"/>
      <c r="G177" s="2"/>
      <c r="H177" s="3"/>
      <c r="I177" s="2"/>
      <c r="J177" s="29"/>
      <c r="K177" s="3"/>
      <c r="L177" s="2"/>
      <c r="M177" s="8"/>
      <c r="N177" s="3"/>
      <c r="O177" s="2"/>
      <c r="P177" s="3"/>
      <c r="Q177" s="2"/>
      <c r="R177" s="3"/>
      <c r="S177" s="3"/>
      <c r="T177" s="2"/>
      <c r="U177" s="8">
        <f t="shared" si="15"/>
        <v>0</v>
      </c>
      <c r="V177" s="8"/>
      <c r="W177" s="8"/>
      <c r="X177" s="8"/>
      <c r="Y177" s="8"/>
      <c r="Z177" s="8"/>
      <c r="AA177" s="8"/>
      <c r="AB177" s="8"/>
      <c r="AC177" s="8">
        <f t="shared" si="16"/>
        <v>0</v>
      </c>
      <c r="AD177" s="8"/>
      <c r="AE177" s="8"/>
      <c r="AF177" s="8"/>
      <c r="AG177" s="8"/>
      <c r="AH177" s="8"/>
      <c r="AI177" s="8"/>
      <c r="AJ177" s="8"/>
      <c r="AK177" s="8"/>
      <c r="AL177" s="8"/>
      <c r="AM177" s="8">
        <v>191705515</v>
      </c>
      <c r="AN177" s="8">
        <f t="shared" si="23"/>
        <v>191705515</v>
      </c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>
        <v>204017960</v>
      </c>
      <c r="AZ177" s="8"/>
      <c r="BA177" s="8"/>
      <c r="BB177" s="8"/>
      <c r="BC177" s="8">
        <f t="shared" si="17"/>
        <v>395723475</v>
      </c>
      <c r="BD177" s="4">
        <v>204017960</v>
      </c>
      <c r="BE177" s="4">
        <f t="shared" si="18"/>
        <v>191705515</v>
      </c>
      <c r="BF177" s="30">
        <f t="shared" si="19"/>
        <v>395723475</v>
      </c>
      <c r="BG177" s="18">
        <f t="shared" si="20"/>
        <v>0</v>
      </c>
      <c r="BH177" s="23"/>
      <c r="BI177" s="23"/>
      <c r="BJ177" s="23"/>
    </row>
    <row r="178" spans="1:66" ht="15" customHeight="1" x14ac:dyDescent="0.2">
      <c r="A178" s="1">
        <v>8909840681</v>
      </c>
      <c r="B178" s="1">
        <v>890984068</v>
      </c>
      <c r="C178" s="15">
        <v>215005150</v>
      </c>
      <c r="D178" s="16" t="s">
        <v>74</v>
      </c>
      <c r="E178" s="41" t="s">
        <v>1105</v>
      </c>
      <c r="F178" s="28"/>
      <c r="G178" s="2"/>
      <c r="H178" s="3"/>
      <c r="I178" s="2"/>
      <c r="J178" s="29"/>
      <c r="K178" s="3"/>
      <c r="L178" s="2"/>
      <c r="M178" s="8"/>
      <c r="N178" s="3"/>
      <c r="O178" s="2"/>
      <c r="P178" s="3"/>
      <c r="Q178" s="2"/>
      <c r="R178" s="3"/>
      <c r="S178" s="3"/>
      <c r="T178" s="2"/>
      <c r="U178" s="8">
        <f t="shared" si="15"/>
        <v>0</v>
      </c>
      <c r="V178" s="8"/>
      <c r="W178" s="8"/>
      <c r="X178" s="8"/>
      <c r="Y178" s="8"/>
      <c r="Z178" s="8"/>
      <c r="AA178" s="8"/>
      <c r="AB178" s="8"/>
      <c r="AC178" s="8">
        <f t="shared" si="16"/>
        <v>0</v>
      </c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>
        <v>31847275</v>
      </c>
      <c r="AZ178" s="8"/>
      <c r="BA178" s="8">
        <f>VLOOKUP(B178,[1]Hoja3!J$3:K$674,2,0)</f>
        <v>52266030</v>
      </c>
      <c r="BB178" s="8"/>
      <c r="BC178" s="8">
        <f t="shared" si="17"/>
        <v>84113305</v>
      </c>
      <c r="BD178" s="4">
        <v>31847275</v>
      </c>
      <c r="BE178" s="4">
        <f t="shared" si="18"/>
        <v>52266030</v>
      </c>
      <c r="BF178" s="30">
        <f t="shared" si="19"/>
        <v>84113305</v>
      </c>
      <c r="BG178" s="18">
        <f t="shared" si="20"/>
        <v>0</v>
      </c>
      <c r="BH178" s="23"/>
      <c r="BI178" s="23"/>
      <c r="BJ178" s="23"/>
    </row>
    <row r="179" spans="1:66" ht="15" customHeight="1" x14ac:dyDescent="0.2">
      <c r="A179" s="1">
        <v>8000957544</v>
      </c>
      <c r="B179" s="1">
        <v>800095754</v>
      </c>
      <c r="C179" s="15">
        <v>215018150</v>
      </c>
      <c r="D179" s="16" t="s">
        <v>363</v>
      </c>
      <c r="E179" s="41" t="s">
        <v>1393</v>
      </c>
      <c r="F179" s="28"/>
      <c r="G179" s="2"/>
      <c r="H179" s="3"/>
      <c r="I179" s="2"/>
      <c r="J179" s="29"/>
      <c r="K179" s="3"/>
      <c r="L179" s="2"/>
      <c r="M179" s="8"/>
      <c r="N179" s="3"/>
      <c r="O179" s="2"/>
      <c r="P179" s="3"/>
      <c r="Q179" s="2"/>
      <c r="R179" s="3"/>
      <c r="S179" s="3"/>
      <c r="T179" s="2"/>
      <c r="U179" s="8">
        <f t="shared" si="15"/>
        <v>0</v>
      </c>
      <c r="V179" s="8"/>
      <c r="W179" s="8"/>
      <c r="X179" s="8"/>
      <c r="Y179" s="8"/>
      <c r="Z179" s="8"/>
      <c r="AA179" s="8"/>
      <c r="AB179" s="8"/>
      <c r="AC179" s="8">
        <f t="shared" si="16"/>
        <v>0</v>
      </c>
      <c r="AD179" s="8"/>
      <c r="AE179" s="8"/>
      <c r="AF179" s="8"/>
      <c r="AG179" s="8"/>
      <c r="AH179" s="8"/>
      <c r="AI179" s="8"/>
      <c r="AJ179" s="8"/>
      <c r="AK179" s="8"/>
      <c r="AL179" s="8"/>
      <c r="AM179" s="8">
        <v>423093706</v>
      </c>
      <c r="AN179" s="8">
        <f>SUBTOTAL(9,AC179:AM179)</f>
        <v>423093706</v>
      </c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>
        <v>341691635</v>
      </c>
      <c r="AZ179" s="8"/>
      <c r="BA179" s="8">
        <f>VLOOKUP(B179,[1]Hoja3!J$3:K$674,2,0)</f>
        <v>201464621</v>
      </c>
      <c r="BB179" s="8"/>
      <c r="BC179" s="8">
        <f t="shared" si="17"/>
        <v>966249962</v>
      </c>
      <c r="BD179" s="4">
        <v>341691635</v>
      </c>
      <c r="BE179" s="4">
        <f t="shared" si="18"/>
        <v>624558327</v>
      </c>
      <c r="BF179" s="30">
        <f t="shared" si="19"/>
        <v>966249962</v>
      </c>
      <c r="BG179" s="18">
        <f t="shared" si="20"/>
        <v>0</v>
      </c>
      <c r="BH179" s="23"/>
      <c r="BI179" s="23"/>
      <c r="BJ179" s="23"/>
    </row>
    <row r="180" spans="1:66" ht="15" customHeight="1" x14ac:dyDescent="0.2">
      <c r="A180" s="1">
        <v>8919004932</v>
      </c>
      <c r="B180" s="1">
        <v>891900493</v>
      </c>
      <c r="C180" s="15">
        <v>214776147</v>
      </c>
      <c r="D180" s="16" t="s">
        <v>2151</v>
      </c>
      <c r="E180" s="53" t="s">
        <v>1065</v>
      </c>
      <c r="F180" s="28"/>
      <c r="G180" s="2"/>
      <c r="H180" s="3"/>
      <c r="I180" s="2">
        <f>2824622000+103426709</f>
        <v>2928048709</v>
      </c>
      <c r="J180" s="29">
        <v>183364802</v>
      </c>
      <c r="K180" s="3">
        <v>363713178</v>
      </c>
      <c r="L180" s="2"/>
      <c r="M180" s="37">
        <f>SUM(F180:L180)</f>
        <v>3475126689</v>
      </c>
      <c r="N180" s="3"/>
      <c r="O180" s="2"/>
      <c r="P180" s="3"/>
      <c r="Q180" s="2">
        <f>2694835856+47012140</f>
        <v>2741847996</v>
      </c>
      <c r="R180" s="3">
        <v>183364802</v>
      </c>
      <c r="S180" s="3">
        <f>180348376+183364802</f>
        <v>363713178</v>
      </c>
      <c r="T180" s="2"/>
      <c r="U180" s="8">
        <f t="shared" si="15"/>
        <v>6764052665</v>
      </c>
      <c r="V180" s="8"/>
      <c r="W180" s="8"/>
      <c r="X180" s="8"/>
      <c r="Y180" s="8">
        <v>3366740741</v>
      </c>
      <c r="Z180" s="8">
        <v>182454413</v>
      </c>
      <c r="AA180" s="8">
        <v>427775363</v>
      </c>
      <c r="AB180" s="8"/>
      <c r="AC180" s="8">
        <f t="shared" si="16"/>
        <v>10741023182</v>
      </c>
      <c r="AD180" s="8"/>
      <c r="AE180" s="8"/>
      <c r="AF180" s="8"/>
      <c r="AG180" s="8"/>
      <c r="AH180" s="8">
        <v>2753936592</v>
      </c>
      <c r="AI180" s="8">
        <v>473260650</v>
      </c>
      <c r="AJ180" s="8">
        <v>189408933</v>
      </c>
      <c r="AK180" s="8">
        <v>477371880</v>
      </c>
      <c r="AL180" s="8"/>
      <c r="AM180" s="8">
        <v>1233573225</v>
      </c>
      <c r="AN180" s="8">
        <f>SUBTOTAL(9,AC180:AM180)</f>
        <v>15868574462</v>
      </c>
      <c r="AO180" s="8"/>
      <c r="AP180" s="8"/>
      <c r="AQ180" s="8">
        <v>489338300</v>
      </c>
      <c r="AR180" s="8"/>
      <c r="AS180" s="8"/>
      <c r="AT180" s="8">
        <v>2753936592</v>
      </c>
      <c r="AU180" s="8"/>
      <c r="AV180" s="8">
        <v>189408933</v>
      </c>
      <c r="AW180" s="8">
        <v>323337738</v>
      </c>
      <c r="AX180" s="8"/>
      <c r="AY180" s="8"/>
      <c r="AZ180" s="8"/>
      <c r="BA180" s="8"/>
      <c r="BB180" s="8"/>
      <c r="BC180" s="8">
        <f t="shared" si="17"/>
        <v>19624596025</v>
      </c>
      <c r="BD180" s="4">
        <v>18391022800</v>
      </c>
      <c r="BE180" s="4">
        <f t="shared" si="18"/>
        <v>1233573225</v>
      </c>
      <c r="BF180" s="30">
        <f t="shared" si="19"/>
        <v>19624596025</v>
      </c>
      <c r="BG180" s="18">
        <f t="shared" si="20"/>
        <v>0</v>
      </c>
      <c r="BH180" s="23"/>
      <c r="BI180" s="23"/>
      <c r="BJ180" s="23"/>
    </row>
    <row r="181" spans="1:66" ht="15" hidden="1" customHeight="1" x14ac:dyDescent="0.2">
      <c r="A181" s="1">
        <v>8320006054</v>
      </c>
      <c r="B181" s="1">
        <v>832000605</v>
      </c>
      <c r="C181" s="15">
        <v>216197161</v>
      </c>
      <c r="D181" s="16" t="s">
        <v>995</v>
      </c>
      <c r="E181" s="41" t="s">
        <v>2053</v>
      </c>
      <c r="F181" s="28"/>
      <c r="G181" s="17"/>
      <c r="H181" s="3"/>
      <c r="I181" s="2"/>
      <c r="J181" s="29"/>
      <c r="K181" s="3"/>
      <c r="L181" s="17"/>
      <c r="M181" s="34"/>
      <c r="N181" s="3"/>
      <c r="O181" s="17"/>
      <c r="P181" s="3"/>
      <c r="Q181" s="2"/>
      <c r="R181" s="3"/>
      <c r="S181" s="3"/>
      <c r="T181" s="17"/>
      <c r="U181" s="8">
        <f t="shared" si="15"/>
        <v>0</v>
      </c>
      <c r="V181" s="8"/>
      <c r="W181" s="8"/>
      <c r="X181" s="8"/>
      <c r="Y181" s="8"/>
      <c r="Z181" s="8"/>
      <c r="AA181" s="8"/>
      <c r="AB181" s="8"/>
      <c r="AC181" s="8">
        <f t="shared" si="16"/>
        <v>0</v>
      </c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>
        <f t="shared" si="17"/>
        <v>0</v>
      </c>
      <c r="BD181" s="4"/>
      <c r="BE181" s="4">
        <f t="shared" si="18"/>
        <v>0</v>
      </c>
      <c r="BF181" s="30">
        <f t="shared" si="19"/>
        <v>0</v>
      </c>
      <c r="BG181" s="18">
        <f t="shared" si="20"/>
        <v>0</v>
      </c>
      <c r="BH181" s="23"/>
      <c r="BI181" s="23"/>
      <c r="BJ181" s="14"/>
      <c r="BK181" s="14"/>
      <c r="BL181" s="14"/>
      <c r="BM181" s="14"/>
      <c r="BN181" s="14"/>
    </row>
    <row r="182" spans="1:66" ht="15" customHeight="1" x14ac:dyDescent="0.2">
      <c r="A182" s="1">
        <v>8907020217</v>
      </c>
      <c r="B182" s="1">
        <v>890702021</v>
      </c>
      <c r="C182" s="15">
        <v>215273152</v>
      </c>
      <c r="D182" s="16" t="s">
        <v>2211</v>
      </c>
      <c r="E182" s="41" t="s">
        <v>1937</v>
      </c>
      <c r="F182" s="28"/>
      <c r="G182" s="2"/>
      <c r="H182" s="3"/>
      <c r="I182" s="2"/>
      <c r="J182" s="29"/>
      <c r="K182" s="3"/>
      <c r="L182" s="2"/>
      <c r="M182" s="8"/>
      <c r="N182" s="3"/>
      <c r="O182" s="2"/>
      <c r="P182" s="3"/>
      <c r="Q182" s="2"/>
      <c r="R182" s="3"/>
      <c r="S182" s="3"/>
      <c r="T182" s="2"/>
      <c r="U182" s="8">
        <f t="shared" si="15"/>
        <v>0</v>
      </c>
      <c r="V182" s="8"/>
      <c r="W182" s="8"/>
      <c r="X182" s="8"/>
      <c r="Y182" s="8"/>
      <c r="Z182" s="8"/>
      <c r="AA182" s="8"/>
      <c r="AB182" s="8"/>
      <c r="AC182" s="8">
        <f t="shared" si="16"/>
        <v>0</v>
      </c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>
        <v>43858880</v>
      </c>
      <c r="AZ182" s="8"/>
      <c r="BA182" s="8">
        <f>VLOOKUP(B182,[1]Hoja3!J$3:K$674,2,0)</f>
        <v>106709090</v>
      </c>
      <c r="BB182" s="8"/>
      <c r="BC182" s="8">
        <f t="shared" si="17"/>
        <v>150567970</v>
      </c>
      <c r="BD182" s="4">
        <v>43858880</v>
      </c>
      <c r="BE182" s="4">
        <f t="shared" si="18"/>
        <v>106709090</v>
      </c>
      <c r="BF182" s="30">
        <f t="shared" si="19"/>
        <v>150567970</v>
      </c>
      <c r="BG182" s="18">
        <f t="shared" si="20"/>
        <v>0</v>
      </c>
      <c r="BH182" s="23"/>
      <c r="BI182" s="23"/>
      <c r="BJ182" s="23"/>
    </row>
    <row r="183" spans="1:66" ht="15" customHeight="1" x14ac:dyDescent="0.2">
      <c r="A183" s="1">
        <v>8000981904</v>
      </c>
      <c r="B183" s="1">
        <v>800098190</v>
      </c>
      <c r="C183" s="15">
        <v>215050150</v>
      </c>
      <c r="D183" s="16" t="s">
        <v>2132</v>
      </c>
      <c r="E183" s="41" t="s">
        <v>1690</v>
      </c>
      <c r="F183" s="28"/>
      <c r="G183" s="2"/>
      <c r="H183" s="3"/>
      <c r="I183" s="2"/>
      <c r="J183" s="29"/>
      <c r="K183" s="3"/>
      <c r="L183" s="2"/>
      <c r="M183" s="8"/>
      <c r="N183" s="3"/>
      <c r="O183" s="2"/>
      <c r="P183" s="3"/>
      <c r="Q183" s="2"/>
      <c r="R183" s="3"/>
      <c r="S183" s="3"/>
      <c r="T183" s="2"/>
      <c r="U183" s="8">
        <f t="shared" si="15"/>
        <v>0</v>
      </c>
      <c r="V183" s="8"/>
      <c r="W183" s="8"/>
      <c r="X183" s="8"/>
      <c r="Y183" s="8"/>
      <c r="Z183" s="8"/>
      <c r="AA183" s="8"/>
      <c r="AB183" s="8"/>
      <c r="AC183" s="8">
        <f t="shared" si="16"/>
        <v>0</v>
      </c>
      <c r="AD183" s="8"/>
      <c r="AE183" s="8"/>
      <c r="AF183" s="8"/>
      <c r="AG183" s="8"/>
      <c r="AH183" s="8"/>
      <c r="AI183" s="8"/>
      <c r="AJ183" s="8"/>
      <c r="AK183" s="8"/>
      <c r="AL183" s="8"/>
      <c r="AM183" s="8">
        <v>171303804</v>
      </c>
      <c r="AN183" s="8">
        <f>SUBTOTAL(9,AC183:AM183)</f>
        <v>171303804</v>
      </c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>
        <v>75583530</v>
      </c>
      <c r="AZ183" s="8"/>
      <c r="BA183" s="8"/>
      <c r="BB183" s="8"/>
      <c r="BC183" s="8">
        <f t="shared" si="17"/>
        <v>246887334</v>
      </c>
      <c r="BD183" s="4">
        <v>75583530</v>
      </c>
      <c r="BE183" s="4">
        <f t="shared" si="18"/>
        <v>171303804</v>
      </c>
      <c r="BF183" s="30">
        <f t="shared" si="19"/>
        <v>246887334</v>
      </c>
      <c r="BG183" s="18">
        <f t="shared" si="20"/>
        <v>0</v>
      </c>
      <c r="BH183" s="23"/>
      <c r="BI183" s="23"/>
      <c r="BJ183" s="23"/>
    </row>
    <row r="184" spans="1:66" ht="15" customHeight="1" x14ac:dyDescent="0.2">
      <c r="A184" s="1">
        <v>8909064452</v>
      </c>
      <c r="B184" s="1">
        <v>890906445</v>
      </c>
      <c r="C184" s="15">
        <v>215405154</v>
      </c>
      <c r="D184" s="16" t="s">
        <v>75</v>
      </c>
      <c r="E184" s="41" t="s">
        <v>1106</v>
      </c>
      <c r="F184" s="28"/>
      <c r="G184" s="2"/>
      <c r="H184" s="3"/>
      <c r="I184" s="2"/>
      <c r="J184" s="29"/>
      <c r="K184" s="3"/>
      <c r="L184" s="2"/>
      <c r="M184" s="8"/>
      <c r="N184" s="3"/>
      <c r="O184" s="2"/>
      <c r="P184" s="3"/>
      <c r="Q184" s="2"/>
      <c r="R184" s="3"/>
      <c r="S184" s="3"/>
      <c r="T184" s="2"/>
      <c r="U184" s="8">
        <f t="shared" si="15"/>
        <v>0</v>
      </c>
      <c r="V184" s="8"/>
      <c r="W184" s="8"/>
      <c r="X184" s="8"/>
      <c r="Y184" s="8"/>
      <c r="Z184" s="8"/>
      <c r="AA184" s="8"/>
      <c r="AB184" s="8"/>
      <c r="AC184" s="8">
        <f t="shared" si="16"/>
        <v>0</v>
      </c>
      <c r="AD184" s="8"/>
      <c r="AE184" s="8"/>
      <c r="AF184" s="8"/>
      <c r="AG184" s="8"/>
      <c r="AH184" s="8"/>
      <c r="AI184" s="8"/>
      <c r="AJ184" s="8"/>
      <c r="AK184" s="8"/>
      <c r="AL184" s="8"/>
      <c r="AM184" s="8">
        <v>1371710927</v>
      </c>
      <c r="AN184" s="8">
        <f>SUBTOTAL(9,AC184:AM184)</f>
        <v>1371710927</v>
      </c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>
        <v>860071855</v>
      </c>
      <c r="AZ184" s="8"/>
      <c r="BA184" s="8"/>
      <c r="BB184" s="8">
        <f>VLOOKUP(B184,'[2]anuladas en mayo gratuidad}'!K$2:L$55,2,0)</f>
        <v>622448293</v>
      </c>
      <c r="BC184" s="8">
        <f t="shared" si="17"/>
        <v>1609334489</v>
      </c>
      <c r="BD184" s="4">
        <v>860071855</v>
      </c>
      <c r="BE184" s="4">
        <f t="shared" si="18"/>
        <v>749262634</v>
      </c>
      <c r="BF184" s="30">
        <f t="shared" si="19"/>
        <v>1609334489</v>
      </c>
      <c r="BG184" s="18">
        <f t="shared" si="20"/>
        <v>0</v>
      </c>
      <c r="BH184" s="23"/>
      <c r="BI184" s="23"/>
      <c r="BJ184" s="23"/>
    </row>
    <row r="185" spans="1:66" ht="15" customHeight="1" x14ac:dyDescent="0.2">
      <c r="A185" s="1">
        <v>8902046993</v>
      </c>
      <c r="B185" s="1">
        <v>890204699</v>
      </c>
      <c r="C185" s="15">
        <v>216068160</v>
      </c>
      <c r="D185" s="16" t="s">
        <v>823</v>
      </c>
      <c r="E185" s="41" t="s">
        <v>1840</v>
      </c>
      <c r="F185" s="28"/>
      <c r="G185" s="2"/>
      <c r="H185" s="3"/>
      <c r="I185" s="2"/>
      <c r="J185" s="29"/>
      <c r="K185" s="3"/>
      <c r="L185" s="2"/>
      <c r="M185" s="8"/>
      <c r="N185" s="3"/>
      <c r="O185" s="2"/>
      <c r="P185" s="3"/>
      <c r="Q185" s="2"/>
      <c r="R185" s="3"/>
      <c r="S185" s="3"/>
      <c r="T185" s="2"/>
      <c r="U185" s="8">
        <f t="shared" si="15"/>
        <v>0</v>
      </c>
      <c r="V185" s="8"/>
      <c r="W185" s="8"/>
      <c r="X185" s="8"/>
      <c r="Y185" s="8"/>
      <c r="Z185" s="8"/>
      <c r="AA185" s="8"/>
      <c r="AB185" s="8"/>
      <c r="AC185" s="8">
        <f t="shared" si="16"/>
        <v>0</v>
      </c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>
        <v>13609135</v>
      </c>
      <c r="AZ185" s="8"/>
      <c r="BA185" s="8">
        <f>VLOOKUP(B185,[1]Hoja3!J$3:K$674,2,0)</f>
        <v>27908081</v>
      </c>
      <c r="BB185" s="8"/>
      <c r="BC185" s="8">
        <f t="shared" si="17"/>
        <v>41517216</v>
      </c>
      <c r="BD185" s="4">
        <v>13609135</v>
      </c>
      <c r="BE185" s="4">
        <f t="shared" si="18"/>
        <v>27908081</v>
      </c>
      <c r="BF185" s="30">
        <f t="shared" si="19"/>
        <v>41517216</v>
      </c>
      <c r="BG185" s="18">
        <f t="shared" si="20"/>
        <v>0</v>
      </c>
      <c r="BH185" s="23"/>
      <c r="BI185" s="23"/>
      <c r="BJ185" s="23"/>
    </row>
    <row r="186" spans="1:66" ht="15" customHeight="1" x14ac:dyDescent="0.2">
      <c r="A186" s="1">
        <v>8000967445</v>
      </c>
      <c r="B186" s="1">
        <v>800096744</v>
      </c>
      <c r="C186" s="15">
        <v>216223162</v>
      </c>
      <c r="D186" s="16" t="s">
        <v>440</v>
      </c>
      <c r="E186" s="41" t="s">
        <v>1467</v>
      </c>
      <c r="F186" s="28"/>
      <c r="G186" s="2"/>
      <c r="H186" s="3"/>
      <c r="I186" s="2"/>
      <c r="J186" s="29"/>
      <c r="K186" s="3"/>
      <c r="L186" s="2"/>
      <c r="M186" s="8"/>
      <c r="N186" s="3"/>
      <c r="O186" s="2"/>
      <c r="P186" s="3"/>
      <c r="Q186" s="2"/>
      <c r="R186" s="3"/>
      <c r="S186" s="3"/>
      <c r="T186" s="2"/>
      <c r="U186" s="8">
        <f t="shared" si="15"/>
        <v>0</v>
      </c>
      <c r="V186" s="8"/>
      <c r="W186" s="8"/>
      <c r="X186" s="8"/>
      <c r="Y186" s="8"/>
      <c r="Z186" s="8"/>
      <c r="AA186" s="8"/>
      <c r="AB186" s="8"/>
      <c r="AC186" s="8">
        <f t="shared" si="16"/>
        <v>0</v>
      </c>
      <c r="AD186" s="8"/>
      <c r="AE186" s="8"/>
      <c r="AF186" s="8"/>
      <c r="AG186" s="8"/>
      <c r="AH186" s="8"/>
      <c r="AI186" s="8"/>
      <c r="AJ186" s="8"/>
      <c r="AK186" s="8"/>
      <c r="AL186" s="8"/>
      <c r="AM186" s="8">
        <v>1078753198</v>
      </c>
      <c r="AN186" s="8">
        <f>SUBTOTAL(9,AC186:AM186)</f>
        <v>1078753198</v>
      </c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>
        <v>721747760</v>
      </c>
      <c r="AZ186" s="8"/>
      <c r="BA186" s="8">
        <f>VLOOKUP(B186,[1]Hoja3!J$3:K$674,2,0)</f>
        <v>129661901</v>
      </c>
      <c r="BB186" s="8"/>
      <c r="BC186" s="8">
        <f t="shared" si="17"/>
        <v>1930162859</v>
      </c>
      <c r="BD186" s="4">
        <v>721747760</v>
      </c>
      <c r="BE186" s="4">
        <f t="shared" si="18"/>
        <v>1208415099</v>
      </c>
      <c r="BF186" s="30">
        <f t="shared" si="19"/>
        <v>1930162859</v>
      </c>
      <c r="BG186" s="18">
        <f t="shared" si="20"/>
        <v>0</v>
      </c>
      <c r="BH186" s="23"/>
      <c r="BI186" s="23"/>
      <c r="BJ186" s="23"/>
    </row>
    <row r="187" spans="1:66" ht="15" customHeight="1" x14ac:dyDescent="0.2">
      <c r="A187" s="1">
        <v>8918578053</v>
      </c>
      <c r="B187" s="1">
        <v>891857805</v>
      </c>
      <c r="C187" s="15">
        <v>216215162</v>
      </c>
      <c r="D187" s="16" t="s">
        <v>230</v>
      </c>
      <c r="E187" s="41" t="s">
        <v>1266</v>
      </c>
      <c r="F187" s="28"/>
      <c r="G187" s="17"/>
      <c r="H187" s="3"/>
      <c r="I187" s="2"/>
      <c r="J187" s="29"/>
      <c r="K187" s="3"/>
      <c r="L187" s="17"/>
      <c r="M187" s="34"/>
      <c r="N187" s="3"/>
      <c r="O187" s="17"/>
      <c r="P187" s="3"/>
      <c r="Q187" s="2"/>
      <c r="R187" s="3"/>
      <c r="S187" s="3"/>
      <c r="T187" s="17"/>
      <c r="U187" s="8">
        <f t="shared" si="15"/>
        <v>0</v>
      </c>
      <c r="V187" s="8"/>
      <c r="W187" s="8"/>
      <c r="X187" s="8"/>
      <c r="Y187" s="8"/>
      <c r="Z187" s="8"/>
      <c r="AA187" s="8"/>
      <c r="AB187" s="8"/>
      <c r="AC187" s="8">
        <f t="shared" si="16"/>
        <v>0</v>
      </c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>
        <v>26679215</v>
      </c>
      <c r="AZ187" s="8"/>
      <c r="BA187" s="8">
        <f>VLOOKUP(B187,[1]Hoja3!J$3:K$674,2,0)</f>
        <v>47203553</v>
      </c>
      <c r="BB187" s="8"/>
      <c r="BC187" s="8">
        <f t="shared" si="17"/>
        <v>73882768</v>
      </c>
      <c r="BD187" s="4">
        <v>26679215</v>
      </c>
      <c r="BE187" s="4">
        <f t="shared" si="18"/>
        <v>47203553</v>
      </c>
      <c r="BF187" s="30">
        <f t="shared" si="19"/>
        <v>73882768</v>
      </c>
      <c r="BG187" s="18">
        <f t="shared" si="20"/>
        <v>0</v>
      </c>
      <c r="BH187" s="23"/>
      <c r="BI187" s="23"/>
      <c r="BJ187" s="14"/>
      <c r="BK187" s="14"/>
      <c r="BL187" s="14"/>
      <c r="BM187" s="14"/>
      <c r="BN187" s="14"/>
    </row>
    <row r="188" spans="1:66" ht="15" customHeight="1" x14ac:dyDescent="0.2">
      <c r="A188" s="1">
        <v>8902098899</v>
      </c>
      <c r="B188" s="1">
        <v>890209889</v>
      </c>
      <c r="C188" s="15">
        <v>216268162</v>
      </c>
      <c r="D188" s="16" t="s">
        <v>824</v>
      </c>
      <c r="E188" s="41" t="s">
        <v>1841</v>
      </c>
      <c r="F188" s="28"/>
      <c r="G188" s="2"/>
      <c r="H188" s="3"/>
      <c r="I188" s="2"/>
      <c r="J188" s="29"/>
      <c r="K188" s="3"/>
      <c r="L188" s="2"/>
      <c r="M188" s="8"/>
      <c r="N188" s="3"/>
      <c r="O188" s="2"/>
      <c r="P188" s="3"/>
      <c r="Q188" s="2"/>
      <c r="R188" s="3"/>
      <c r="S188" s="3"/>
      <c r="T188" s="2"/>
      <c r="U188" s="8">
        <f t="shared" si="15"/>
        <v>0</v>
      </c>
      <c r="V188" s="8"/>
      <c r="W188" s="8"/>
      <c r="X188" s="8"/>
      <c r="Y188" s="8"/>
      <c r="Z188" s="8"/>
      <c r="AA188" s="8"/>
      <c r="AB188" s="8"/>
      <c r="AC188" s="8">
        <f t="shared" si="16"/>
        <v>0</v>
      </c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>
        <v>44601005</v>
      </c>
      <c r="AZ188" s="8"/>
      <c r="BA188" s="8">
        <f>VLOOKUP(B188,[1]Hoja3!J$3:K$674,2,0)</f>
        <v>92371264</v>
      </c>
      <c r="BB188" s="8"/>
      <c r="BC188" s="8">
        <f t="shared" si="17"/>
        <v>136972269</v>
      </c>
      <c r="BD188" s="4">
        <v>44601005</v>
      </c>
      <c r="BE188" s="4">
        <f t="shared" si="18"/>
        <v>92371264</v>
      </c>
      <c r="BF188" s="30">
        <f t="shared" si="19"/>
        <v>136972269</v>
      </c>
      <c r="BG188" s="18">
        <f t="shared" si="20"/>
        <v>0</v>
      </c>
      <c r="BH188" s="23"/>
      <c r="BI188" s="23"/>
      <c r="BJ188" s="23"/>
    </row>
    <row r="189" spans="1:66" ht="15" customHeight="1" x14ac:dyDescent="0.2">
      <c r="A189" s="1">
        <v>8917800428</v>
      </c>
      <c r="B189" s="1">
        <v>891780042</v>
      </c>
      <c r="C189" s="15">
        <v>216147161</v>
      </c>
      <c r="D189" s="16" t="s">
        <v>2128</v>
      </c>
      <c r="E189" s="41" t="s">
        <v>1663</v>
      </c>
      <c r="F189" s="28"/>
      <c r="G189" s="2"/>
      <c r="H189" s="3"/>
      <c r="I189" s="2"/>
      <c r="J189" s="29"/>
      <c r="K189" s="3"/>
      <c r="L189" s="2"/>
      <c r="M189" s="8"/>
      <c r="N189" s="3"/>
      <c r="O189" s="2"/>
      <c r="P189" s="3"/>
      <c r="Q189" s="2"/>
      <c r="R189" s="3"/>
      <c r="S189" s="3"/>
      <c r="T189" s="2"/>
      <c r="U189" s="8">
        <f t="shared" si="15"/>
        <v>0</v>
      </c>
      <c r="V189" s="8"/>
      <c r="W189" s="8"/>
      <c r="X189" s="8"/>
      <c r="Y189" s="8"/>
      <c r="Z189" s="8"/>
      <c r="AA189" s="8"/>
      <c r="AB189" s="8"/>
      <c r="AC189" s="8">
        <f t="shared" si="16"/>
        <v>0</v>
      </c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>
        <v>104164490</v>
      </c>
      <c r="AZ189" s="8"/>
      <c r="BA189" s="8">
        <f>VLOOKUP(B189,[1]Hoja3!J$3:K$674,2,0)</f>
        <v>150942913</v>
      </c>
      <c r="BB189" s="8"/>
      <c r="BC189" s="8">
        <f t="shared" si="17"/>
        <v>255107403</v>
      </c>
      <c r="BD189" s="4">
        <v>104164490</v>
      </c>
      <c r="BE189" s="4">
        <f t="shared" si="18"/>
        <v>150942913</v>
      </c>
      <c r="BF189" s="30">
        <f t="shared" si="19"/>
        <v>255107403</v>
      </c>
      <c r="BG189" s="18">
        <f t="shared" si="20"/>
        <v>0</v>
      </c>
      <c r="BH189" s="23"/>
      <c r="BI189" s="23"/>
      <c r="BJ189" s="23"/>
    </row>
    <row r="190" spans="1:66" ht="15" customHeight="1" x14ac:dyDescent="0.2">
      <c r="A190" s="1">
        <v>8180012023</v>
      </c>
      <c r="B190" s="1">
        <v>818001202</v>
      </c>
      <c r="C190" s="15">
        <v>216027160</v>
      </c>
      <c r="D190" s="16" t="s">
        <v>576</v>
      </c>
      <c r="E190" s="41" t="s">
        <v>1596</v>
      </c>
      <c r="F190" s="28"/>
      <c r="G190" s="2"/>
      <c r="H190" s="3"/>
      <c r="I190" s="2"/>
      <c r="J190" s="29"/>
      <c r="K190" s="3"/>
      <c r="L190" s="2"/>
      <c r="M190" s="8"/>
      <c r="N190" s="3"/>
      <c r="O190" s="2"/>
      <c r="P190" s="3"/>
      <c r="Q190" s="2"/>
      <c r="R190" s="3"/>
      <c r="S190" s="3"/>
      <c r="T190" s="2"/>
      <c r="U190" s="8">
        <f t="shared" si="15"/>
        <v>0</v>
      </c>
      <c r="V190" s="8"/>
      <c r="W190" s="8"/>
      <c r="X190" s="8"/>
      <c r="Y190" s="8"/>
      <c r="Z190" s="8"/>
      <c r="AA190" s="8"/>
      <c r="AB190" s="8"/>
      <c r="AC190" s="8">
        <f t="shared" si="16"/>
        <v>0</v>
      </c>
      <c r="AD190" s="8"/>
      <c r="AE190" s="8"/>
      <c r="AF190" s="8"/>
      <c r="AG190" s="8"/>
      <c r="AH190" s="8"/>
      <c r="AI190" s="8"/>
      <c r="AJ190" s="8"/>
      <c r="AK190" s="8"/>
      <c r="AL190" s="8"/>
      <c r="AM190" s="8">
        <v>88876138</v>
      </c>
      <c r="AN190" s="8">
        <f t="shared" ref="AN190:AN201" si="24">SUBTOTAL(9,AC190:AM190)</f>
        <v>88876138</v>
      </c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>
        <v>67650620</v>
      </c>
      <c r="AZ190" s="8"/>
      <c r="BA190" s="8"/>
      <c r="BB190" s="8"/>
      <c r="BC190" s="8">
        <f t="shared" si="17"/>
        <v>156526758</v>
      </c>
      <c r="BD190" s="4">
        <v>67650620</v>
      </c>
      <c r="BE190" s="4">
        <f t="shared" si="18"/>
        <v>88876138</v>
      </c>
      <c r="BF190" s="30">
        <f t="shared" si="19"/>
        <v>156526758</v>
      </c>
      <c r="BG190" s="18">
        <f t="shared" si="20"/>
        <v>0</v>
      </c>
      <c r="BH190" s="23"/>
      <c r="BI190" s="23"/>
      <c r="BJ190" s="23"/>
    </row>
    <row r="191" spans="1:66" ht="15" customHeight="1" x14ac:dyDescent="0.2">
      <c r="A191" s="1">
        <v>8001999594</v>
      </c>
      <c r="B191" s="1">
        <v>800199959</v>
      </c>
      <c r="C191" s="15">
        <v>214052240</v>
      </c>
      <c r="D191" s="16" t="s">
        <v>705</v>
      </c>
      <c r="E191" s="41" t="s">
        <v>1728</v>
      </c>
      <c r="F191" s="28"/>
      <c r="G191" s="2"/>
      <c r="H191" s="3"/>
      <c r="I191" s="2"/>
      <c r="J191" s="29"/>
      <c r="K191" s="3"/>
      <c r="L191" s="2"/>
      <c r="M191" s="8"/>
      <c r="N191" s="3"/>
      <c r="O191" s="2"/>
      <c r="P191" s="3"/>
      <c r="Q191" s="2"/>
      <c r="R191" s="3"/>
      <c r="S191" s="3"/>
      <c r="T191" s="2"/>
      <c r="U191" s="8">
        <f t="shared" si="15"/>
        <v>0</v>
      </c>
      <c r="V191" s="8"/>
      <c r="W191" s="8"/>
      <c r="X191" s="8"/>
      <c r="Y191" s="8"/>
      <c r="Z191" s="8"/>
      <c r="AA191" s="8"/>
      <c r="AB191" s="8"/>
      <c r="AC191" s="8">
        <f t="shared" si="16"/>
        <v>0</v>
      </c>
      <c r="AD191" s="8"/>
      <c r="AE191" s="8"/>
      <c r="AF191" s="8"/>
      <c r="AG191" s="8"/>
      <c r="AH191" s="8"/>
      <c r="AI191" s="8"/>
      <c r="AJ191" s="8"/>
      <c r="AK191" s="8"/>
      <c r="AL191" s="8"/>
      <c r="AM191" s="8">
        <v>173468575</v>
      </c>
      <c r="AN191" s="8">
        <f t="shared" si="24"/>
        <v>173468575</v>
      </c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>
        <v>78351635</v>
      </c>
      <c r="AZ191" s="8"/>
      <c r="BA191" s="8"/>
      <c r="BB191" s="8"/>
      <c r="BC191" s="8">
        <f t="shared" si="17"/>
        <v>251820210</v>
      </c>
      <c r="BD191" s="4">
        <v>78351635</v>
      </c>
      <c r="BE191" s="4">
        <f t="shared" si="18"/>
        <v>173468575</v>
      </c>
      <c r="BF191" s="30">
        <f t="shared" si="19"/>
        <v>251820210</v>
      </c>
      <c r="BG191" s="18">
        <f t="shared" si="20"/>
        <v>0</v>
      </c>
      <c r="BH191" s="23"/>
      <c r="BI191" s="23"/>
      <c r="BJ191" s="23"/>
    </row>
    <row r="192" spans="1:66" s="21" customFormat="1" ht="15" customHeight="1" x14ac:dyDescent="0.2">
      <c r="A192" s="1">
        <v>8999994002</v>
      </c>
      <c r="B192" s="1">
        <v>899999400</v>
      </c>
      <c r="C192" s="15">
        <v>216825168</v>
      </c>
      <c r="D192" s="16" t="s">
        <v>474</v>
      </c>
      <c r="E192" s="41" t="s">
        <v>1500</v>
      </c>
      <c r="F192" s="28"/>
      <c r="G192" s="2"/>
      <c r="H192" s="3"/>
      <c r="I192" s="2"/>
      <c r="J192" s="29"/>
      <c r="K192" s="3"/>
      <c r="L192" s="2"/>
      <c r="M192" s="8"/>
      <c r="N192" s="3"/>
      <c r="O192" s="2"/>
      <c r="P192" s="3"/>
      <c r="Q192" s="2"/>
      <c r="R192" s="3"/>
      <c r="S192" s="3"/>
      <c r="T192" s="2"/>
      <c r="U192" s="8">
        <f t="shared" si="15"/>
        <v>0</v>
      </c>
      <c r="V192" s="8"/>
      <c r="W192" s="8"/>
      <c r="X192" s="8"/>
      <c r="Y192" s="8"/>
      <c r="Z192" s="8"/>
      <c r="AA192" s="8"/>
      <c r="AB192" s="8"/>
      <c r="AC192" s="8">
        <f t="shared" si="16"/>
        <v>0</v>
      </c>
      <c r="AD192" s="8"/>
      <c r="AE192" s="8"/>
      <c r="AF192" s="8"/>
      <c r="AG192" s="8"/>
      <c r="AH192" s="8"/>
      <c r="AI192" s="8"/>
      <c r="AJ192" s="8"/>
      <c r="AK192" s="8"/>
      <c r="AL192" s="8"/>
      <c r="AM192" s="8">
        <v>38350065</v>
      </c>
      <c r="AN192" s="8">
        <f t="shared" si="24"/>
        <v>38350065</v>
      </c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>
        <v>24927365</v>
      </c>
      <c r="AZ192" s="8"/>
      <c r="BA192" s="8"/>
      <c r="BB192" s="8"/>
      <c r="BC192" s="8">
        <f t="shared" si="17"/>
        <v>63277430</v>
      </c>
      <c r="BD192" s="4">
        <v>24927365</v>
      </c>
      <c r="BE192" s="4">
        <f t="shared" si="18"/>
        <v>38350065</v>
      </c>
      <c r="BF192" s="30">
        <f t="shared" si="19"/>
        <v>63277430</v>
      </c>
      <c r="BG192" s="18">
        <f t="shared" si="20"/>
        <v>0</v>
      </c>
      <c r="BH192" s="23"/>
      <c r="BI192" s="23"/>
      <c r="BJ192" s="23"/>
      <c r="BK192" s="12"/>
      <c r="BL192" s="12"/>
      <c r="BM192" s="12"/>
      <c r="BN192" s="12"/>
    </row>
    <row r="193" spans="1:66" ht="15" customHeight="1" x14ac:dyDescent="0.2">
      <c r="A193" s="1">
        <v>8922007407</v>
      </c>
      <c r="B193" s="1">
        <v>892200740</v>
      </c>
      <c r="C193" s="15">
        <v>213070230</v>
      </c>
      <c r="D193" s="16" t="s">
        <v>895</v>
      </c>
      <c r="E193" s="41" t="s">
        <v>1909</v>
      </c>
      <c r="F193" s="28"/>
      <c r="G193" s="2"/>
      <c r="H193" s="3"/>
      <c r="I193" s="2"/>
      <c r="J193" s="29"/>
      <c r="K193" s="3"/>
      <c r="L193" s="2"/>
      <c r="M193" s="8"/>
      <c r="N193" s="3"/>
      <c r="O193" s="2"/>
      <c r="P193" s="3"/>
      <c r="Q193" s="2"/>
      <c r="R193" s="3"/>
      <c r="S193" s="3"/>
      <c r="T193" s="2"/>
      <c r="U193" s="8">
        <f t="shared" si="15"/>
        <v>0</v>
      </c>
      <c r="V193" s="8"/>
      <c r="W193" s="8"/>
      <c r="X193" s="8"/>
      <c r="Y193" s="8"/>
      <c r="Z193" s="8"/>
      <c r="AA193" s="8"/>
      <c r="AB193" s="8"/>
      <c r="AC193" s="8">
        <f t="shared" si="16"/>
        <v>0</v>
      </c>
      <c r="AD193" s="8"/>
      <c r="AE193" s="8"/>
      <c r="AF193" s="8"/>
      <c r="AG193" s="8"/>
      <c r="AH193" s="8"/>
      <c r="AI193" s="8"/>
      <c r="AJ193" s="8"/>
      <c r="AK193" s="8"/>
      <c r="AL193" s="8"/>
      <c r="AM193" s="8">
        <v>75276683</v>
      </c>
      <c r="AN193" s="8">
        <f t="shared" si="24"/>
        <v>75276683</v>
      </c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>
        <v>54651210</v>
      </c>
      <c r="AZ193" s="8"/>
      <c r="BA193" s="8"/>
      <c r="BB193" s="8"/>
      <c r="BC193" s="8">
        <f t="shared" si="17"/>
        <v>129927893</v>
      </c>
      <c r="BD193" s="4">
        <v>54651210</v>
      </c>
      <c r="BE193" s="4">
        <f t="shared" si="18"/>
        <v>75276683</v>
      </c>
      <c r="BF193" s="30">
        <f t="shared" si="19"/>
        <v>129927893</v>
      </c>
      <c r="BG193" s="18">
        <f t="shared" si="20"/>
        <v>0</v>
      </c>
      <c r="BH193" s="23"/>
      <c r="BI193" s="23"/>
      <c r="BJ193" s="23"/>
    </row>
    <row r="194" spans="1:66" ht="15" customHeight="1" x14ac:dyDescent="0.2">
      <c r="A194" s="1">
        <v>8000860176</v>
      </c>
      <c r="B194" s="1">
        <v>800086017</v>
      </c>
      <c r="C194" s="15">
        <v>211585015</v>
      </c>
      <c r="D194" s="16" t="s">
        <v>957</v>
      </c>
      <c r="E194" s="41" t="s">
        <v>2018</v>
      </c>
      <c r="F194" s="28"/>
      <c r="G194" s="2"/>
      <c r="H194" s="3"/>
      <c r="I194" s="2"/>
      <c r="J194" s="29"/>
      <c r="K194" s="3"/>
      <c r="L194" s="2"/>
      <c r="M194" s="8"/>
      <c r="N194" s="3"/>
      <c r="O194" s="2"/>
      <c r="P194" s="3"/>
      <c r="Q194" s="2"/>
      <c r="R194" s="3"/>
      <c r="S194" s="3"/>
      <c r="T194" s="2"/>
      <c r="U194" s="8">
        <f t="shared" si="15"/>
        <v>0</v>
      </c>
      <c r="V194" s="8"/>
      <c r="W194" s="8"/>
      <c r="X194" s="8"/>
      <c r="Y194" s="8"/>
      <c r="Z194" s="8"/>
      <c r="AA194" s="8"/>
      <c r="AB194" s="8"/>
      <c r="AC194" s="8">
        <f t="shared" si="16"/>
        <v>0</v>
      </c>
      <c r="AD194" s="8"/>
      <c r="AE194" s="8"/>
      <c r="AF194" s="8"/>
      <c r="AG194" s="8"/>
      <c r="AH194" s="8"/>
      <c r="AI194" s="8"/>
      <c r="AJ194" s="8"/>
      <c r="AK194" s="8"/>
      <c r="AL194" s="8"/>
      <c r="AM194" s="8">
        <v>28037469</v>
      </c>
      <c r="AN194" s="8">
        <f t="shared" si="24"/>
        <v>28037469</v>
      </c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>
        <v>13927565</v>
      </c>
      <c r="AZ194" s="8"/>
      <c r="BA194" s="8"/>
      <c r="BB194" s="8"/>
      <c r="BC194" s="8">
        <f t="shared" si="17"/>
        <v>41965034</v>
      </c>
      <c r="BD194" s="4">
        <v>13927565</v>
      </c>
      <c r="BE194" s="4">
        <f t="shared" si="18"/>
        <v>28037469</v>
      </c>
      <c r="BF194" s="30">
        <f t="shared" si="19"/>
        <v>41965034</v>
      </c>
      <c r="BG194" s="18">
        <f t="shared" si="20"/>
        <v>0</v>
      </c>
      <c r="BH194" s="23"/>
      <c r="BI194" s="23"/>
      <c r="BJ194" s="23"/>
    </row>
    <row r="195" spans="1:66" ht="15" customHeight="1" x14ac:dyDescent="0.2">
      <c r="A195" s="1">
        <v>8001000531</v>
      </c>
      <c r="B195" s="1">
        <v>800100053</v>
      </c>
      <c r="C195" s="15">
        <v>216873168</v>
      </c>
      <c r="D195" s="16" t="s">
        <v>2212</v>
      </c>
      <c r="E195" s="41" t="s">
        <v>1938</v>
      </c>
      <c r="F195" s="28"/>
      <c r="G195" s="2"/>
      <c r="H195" s="3"/>
      <c r="I195" s="2"/>
      <c r="J195" s="29"/>
      <c r="K195" s="3"/>
      <c r="L195" s="2"/>
      <c r="M195" s="8"/>
      <c r="N195" s="3"/>
      <c r="O195" s="2"/>
      <c r="P195" s="3"/>
      <c r="Q195" s="2"/>
      <c r="R195" s="3"/>
      <c r="S195" s="3"/>
      <c r="T195" s="2"/>
      <c r="U195" s="8">
        <f t="shared" ref="U195:U258" si="25">SUM(M195:T195)</f>
        <v>0</v>
      </c>
      <c r="V195" s="8"/>
      <c r="W195" s="8"/>
      <c r="X195" s="8"/>
      <c r="Y195" s="8"/>
      <c r="Z195" s="8"/>
      <c r="AA195" s="8"/>
      <c r="AB195" s="8"/>
      <c r="AC195" s="8">
        <f t="shared" si="16"/>
        <v>0</v>
      </c>
      <c r="AD195" s="8"/>
      <c r="AE195" s="8"/>
      <c r="AF195" s="8"/>
      <c r="AG195" s="8"/>
      <c r="AH195" s="8"/>
      <c r="AI195" s="8"/>
      <c r="AJ195" s="8"/>
      <c r="AK195" s="8"/>
      <c r="AL195" s="8"/>
      <c r="AM195" s="8">
        <v>819706602</v>
      </c>
      <c r="AN195" s="8">
        <f t="shared" si="24"/>
        <v>819706602</v>
      </c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>
        <v>374790220</v>
      </c>
      <c r="AZ195" s="8"/>
      <c r="BA195" s="8"/>
      <c r="BB195" s="8"/>
      <c r="BC195" s="8">
        <f t="shared" si="17"/>
        <v>1194496822</v>
      </c>
      <c r="BD195" s="4">
        <v>374790220</v>
      </c>
      <c r="BE195" s="4">
        <f t="shared" si="18"/>
        <v>819706602</v>
      </c>
      <c r="BF195" s="30">
        <f t="shared" si="19"/>
        <v>1194496822</v>
      </c>
      <c r="BG195" s="18">
        <f t="shared" si="20"/>
        <v>0</v>
      </c>
      <c r="BH195" s="23"/>
      <c r="BI195" s="23"/>
      <c r="BJ195" s="23"/>
    </row>
    <row r="196" spans="1:66" ht="15" customHeight="1" x14ac:dyDescent="0.2">
      <c r="A196" s="1">
        <v>8902050634</v>
      </c>
      <c r="B196" s="1">
        <v>890205063</v>
      </c>
      <c r="C196" s="15">
        <v>216768167</v>
      </c>
      <c r="D196" s="16" t="s">
        <v>825</v>
      </c>
      <c r="E196" s="41" t="s">
        <v>1842</v>
      </c>
      <c r="F196" s="28"/>
      <c r="G196" s="2"/>
      <c r="H196" s="3"/>
      <c r="I196" s="2"/>
      <c r="J196" s="29"/>
      <c r="K196" s="3"/>
      <c r="L196" s="2"/>
      <c r="M196" s="8"/>
      <c r="N196" s="3"/>
      <c r="O196" s="2"/>
      <c r="P196" s="3"/>
      <c r="Q196" s="2"/>
      <c r="R196" s="3"/>
      <c r="S196" s="3"/>
      <c r="T196" s="2"/>
      <c r="U196" s="8">
        <f t="shared" si="25"/>
        <v>0</v>
      </c>
      <c r="V196" s="8"/>
      <c r="W196" s="8"/>
      <c r="X196" s="8"/>
      <c r="Y196" s="8"/>
      <c r="Z196" s="8"/>
      <c r="AA196" s="8"/>
      <c r="AB196" s="8"/>
      <c r="AC196" s="8">
        <f t="shared" ref="AC196:AC259" si="26">SUM(U196:AB196)</f>
        <v>0</v>
      </c>
      <c r="AD196" s="8"/>
      <c r="AE196" s="8"/>
      <c r="AF196" s="8"/>
      <c r="AG196" s="8"/>
      <c r="AH196" s="8"/>
      <c r="AI196" s="8"/>
      <c r="AJ196" s="8"/>
      <c r="AK196" s="8"/>
      <c r="AL196" s="8"/>
      <c r="AM196" s="8">
        <v>210374381</v>
      </c>
      <c r="AN196" s="8">
        <f t="shared" si="24"/>
        <v>210374381</v>
      </c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>
        <v>89748985</v>
      </c>
      <c r="AZ196" s="8"/>
      <c r="BA196" s="8"/>
      <c r="BB196" s="8"/>
      <c r="BC196" s="8">
        <f t="shared" ref="BC196:BC259" si="27">SUM(AN196:BA196)-BB196</f>
        <v>300123366</v>
      </c>
      <c r="BD196" s="4">
        <v>89748985</v>
      </c>
      <c r="BE196" s="4">
        <f t="shared" ref="BE196:BE259" si="28">+AM196+BA196-BB196</f>
        <v>210374381</v>
      </c>
      <c r="BF196" s="30">
        <f t="shared" ref="BF196:BF259" si="29">+BD196+BE196</f>
        <v>300123366</v>
      </c>
      <c r="BG196" s="18">
        <f t="shared" ref="BG196:BG259" si="30">+BC196-BF196</f>
        <v>0</v>
      </c>
      <c r="BH196" s="23"/>
      <c r="BI196" s="23"/>
      <c r="BJ196" s="23"/>
    </row>
    <row r="197" spans="1:66" ht="15" customHeight="1" x14ac:dyDescent="0.2">
      <c r="A197" s="1">
        <v>8902067249</v>
      </c>
      <c r="B197" s="1">
        <v>890206724</v>
      </c>
      <c r="C197" s="15">
        <v>216968169</v>
      </c>
      <c r="D197" s="16" t="s">
        <v>826</v>
      </c>
      <c r="E197" s="41" t="s">
        <v>1835</v>
      </c>
      <c r="F197" s="28"/>
      <c r="G197" s="2"/>
      <c r="H197" s="3"/>
      <c r="I197" s="2"/>
      <c r="J197" s="29"/>
      <c r="K197" s="3"/>
      <c r="L197" s="2"/>
      <c r="M197" s="8"/>
      <c r="N197" s="3"/>
      <c r="O197" s="2"/>
      <c r="P197" s="3"/>
      <c r="Q197" s="2"/>
      <c r="R197" s="3"/>
      <c r="S197" s="3"/>
      <c r="T197" s="2"/>
      <c r="U197" s="8">
        <f t="shared" si="25"/>
        <v>0</v>
      </c>
      <c r="V197" s="8"/>
      <c r="W197" s="8"/>
      <c r="X197" s="8"/>
      <c r="Y197" s="8"/>
      <c r="Z197" s="8"/>
      <c r="AA197" s="8"/>
      <c r="AB197" s="8"/>
      <c r="AC197" s="8">
        <f t="shared" si="26"/>
        <v>0</v>
      </c>
      <c r="AD197" s="8"/>
      <c r="AE197" s="8"/>
      <c r="AF197" s="8"/>
      <c r="AG197" s="8"/>
      <c r="AH197" s="8"/>
      <c r="AI197" s="8"/>
      <c r="AJ197" s="8"/>
      <c r="AK197" s="8"/>
      <c r="AL197" s="8"/>
      <c r="AM197" s="8">
        <v>32624395</v>
      </c>
      <c r="AN197" s="8">
        <f t="shared" si="24"/>
        <v>32624395</v>
      </c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>
        <v>14335655</v>
      </c>
      <c r="AZ197" s="8"/>
      <c r="BA197" s="8"/>
      <c r="BB197" s="8"/>
      <c r="BC197" s="8">
        <f t="shared" si="27"/>
        <v>46960050</v>
      </c>
      <c r="BD197" s="4">
        <v>14335655</v>
      </c>
      <c r="BE197" s="4">
        <f t="shared" si="28"/>
        <v>32624395</v>
      </c>
      <c r="BF197" s="30">
        <f t="shared" si="29"/>
        <v>46960050</v>
      </c>
      <c r="BG197" s="18">
        <f t="shared" si="30"/>
        <v>0</v>
      </c>
      <c r="BH197" s="23"/>
      <c r="BI197" s="23"/>
      <c r="BJ197" s="23"/>
    </row>
    <row r="198" spans="1:66" ht="15" customHeight="1" x14ac:dyDescent="0.2">
      <c r="A198" s="1">
        <v>8999991728</v>
      </c>
      <c r="B198" s="1">
        <v>899999172</v>
      </c>
      <c r="C198" s="15">
        <v>217525175</v>
      </c>
      <c r="D198" s="16" t="s">
        <v>475</v>
      </c>
      <c r="E198" s="53" t="s">
        <v>1501</v>
      </c>
      <c r="F198" s="28"/>
      <c r="G198" s="2"/>
      <c r="H198" s="3"/>
      <c r="I198" s="2">
        <f>1976842938+31199206</f>
        <v>2008042144</v>
      </c>
      <c r="J198" s="29">
        <v>141955494</v>
      </c>
      <c r="K198" s="3">
        <v>281233233</v>
      </c>
      <c r="L198" s="2"/>
      <c r="M198" s="37">
        <f>SUM(F198:L198)</f>
        <v>2431230871</v>
      </c>
      <c r="N198" s="3"/>
      <c r="O198" s="2"/>
      <c r="P198" s="3"/>
      <c r="Q198" s="2">
        <f>1901572966+14181457</f>
        <v>1915754423</v>
      </c>
      <c r="R198" s="3">
        <v>141955494</v>
      </c>
      <c r="S198" s="3">
        <f>139277739+141955494</f>
        <v>281233233</v>
      </c>
      <c r="T198" s="2"/>
      <c r="U198" s="8">
        <f t="shared" si="25"/>
        <v>4770174021</v>
      </c>
      <c r="V198" s="8"/>
      <c r="W198" s="8"/>
      <c r="X198" s="8"/>
      <c r="Y198" s="8">
        <v>2579634458</v>
      </c>
      <c r="Z198" s="8">
        <v>136083445</v>
      </c>
      <c r="AA198" s="8">
        <v>320452417</v>
      </c>
      <c r="AB198" s="8"/>
      <c r="AC198" s="8">
        <f t="shared" si="26"/>
        <v>7806344341</v>
      </c>
      <c r="AD198" s="8"/>
      <c r="AE198" s="8"/>
      <c r="AF198" s="8"/>
      <c r="AG198" s="8"/>
      <c r="AH198" s="8">
        <v>1949772554</v>
      </c>
      <c r="AI198" s="8">
        <v>188801174</v>
      </c>
      <c r="AJ198" s="8">
        <v>146905879</v>
      </c>
      <c r="AK198" s="8">
        <v>370055352</v>
      </c>
      <c r="AL198" s="8"/>
      <c r="AM198" s="8">
        <v>1134376682</v>
      </c>
      <c r="AN198" s="8">
        <f t="shared" si="24"/>
        <v>11596255982</v>
      </c>
      <c r="AO198" s="8"/>
      <c r="AP198" s="8"/>
      <c r="AQ198" s="8">
        <v>412637245</v>
      </c>
      <c r="AR198" s="8"/>
      <c r="AS198" s="8"/>
      <c r="AT198" s="8">
        <v>1949772554</v>
      </c>
      <c r="AU198" s="8"/>
      <c r="AV198" s="8">
        <v>146905879</v>
      </c>
      <c r="AW198" s="8">
        <v>250637604</v>
      </c>
      <c r="AX198" s="8"/>
      <c r="AY198" s="8"/>
      <c r="AZ198" s="8">
        <v>144107200</v>
      </c>
      <c r="BA198" s="8"/>
      <c r="BB198" s="8"/>
      <c r="BC198" s="8">
        <f t="shared" si="27"/>
        <v>14500316464</v>
      </c>
      <c r="BD198" s="4">
        <v>13365939782</v>
      </c>
      <c r="BE198" s="4">
        <f t="shared" si="28"/>
        <v>1134376682</v>
      </c>
      <c r="BF198" s="30">
        <f t="shared" si="29"/>
        <v>14500316464</v>
      </c>
      <c r="BG198" s="18">
        <f t="shared" si="30"/>
        <v>0</v>
      </c>
      <c r="BH198" s="23"/>
      <c r="BI198" s="23"/>
      <c r="BJ198" s="23"/>
    </row>
    <row r="199" spans="1:66" ht="15" customHeight="1" x14ac:dyDescent="0.2">
      <c r="A199" s="1">
        <v>8000719341</v>
      </c>
      <c r="B199" s="1">
        <v>800071934</v>
      </c>
      <c r="C199" s="15">
        <v>217047170</v>
      </c>
      <c r="D199" s="16" t="s">
        <v>643</v>
      </c>
      <c r="E199" s="41" t="s">
        <v>1664</v>
      </c>
      <c r="F199" s="28"/>
      <c r="G199" s="2"/>
      <c r="H199" s="3"/>
      <c r="I199" s="2"/>
      <c r="J199" s="29"/>
      <c r="K199" s="3"/>
      <c r="L199" s="2"/>
      <c r="M199" s="8"/>
      <c r="N199" s="3"/>
      <c r="O199" s="2"/>
      <c r="P199" s="3"/>
      <c r="Q199" s="2"/>
      <c r="R199" s="3"/>
      <c r="S199" s="3"/>
      <c r="T199" s="2"/>
      <c r="U199" s="8">
        <f t="shared" si="25"/>
        <v>0</v>
      </c>
      <c r="V199" s="8"/>
      <c r="W199" s="8"/>
      <c r="X199" s="8"/>
      <c r="Y199" s="8"/>
      <c r="Z199" s="8"/>
      <c r="AA199" s="8"/>
      <c r="AB199" s="8"/>
      <c r="AC199" s="8">
        <f t="shared" si="26"/>
        <v>0</v>
      </c>
      <c r="AD199" s="8"/>
      <c r="AE199" s="8"/>
      <c r="AF199" s="8"/>
      <c r="AG199" s="8"/>
      <c r="AH199" s="8"/>
      <c r="AI199" s="8"/>
      <c r="AJ199" s="8"/>
      <c r="AK199" s="8"/>
      <c r="AL199" s="8"/>
      <c r="AM199" s="8">
        <v>85107461</v>
      </c>
      <c r="AN199" s="8">
        <f t="shared" si="24"/>
        <v>85107461</v>
      </c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>
        <v>268386710</v>
      </c>
      <c r="AZ199" s="8"/>
      <c r="BA199" s="8">
        <f>VLOOKUP(B199,[1]Hoja3!J$3:K$674,2,0)</f>
        <v>328735892</v>
      </c>
      <c r="BB199" s="8"/>
      <c r="BC199" s="8">
        <f t="shared" si="27"/>
        <v>682230063</v>
      </c>
      <c r="BD199" s="4">
        <v>268386710</v>
      </c>
      <c r="BE199" s="4">
        <f t="shared" si="28"/>
        <v>413843353</v>
      </c>
      <c r="BF199" s="30">
        <f t="shared" si="29"/>
        <v>682230063</v>
      </c>
      <c r="BG199" s="18">
        <f t="shared" si="30"/>
        <v>0</v>
      </c>
      <c r="BH199" s="23"/>
      <c r="BI199" s="23"/>
      <c r="BJ199" s="23"/>
    </row>
    <row r="200" spans="1:66" ht="15" customHeight="1" x14ac:dyDescent="0.2">
      <c r="A200" s="1">
        <v>8909809988</v>
      </c>
      <c r="B200" s="1">
        <v>890980998</v>
      </c>
      <c r="C200" s="15">
        <v>217205172</v>
      </c>
      <c r="D200" s="16" t="s">
        <v>76</v>
      </c>
      <c r="E200" s="41" t="s">
        <v>1107</v>
      </c>
      <c r="F200" s="28"/>
      <c r="G200" s="2"/>
      <c r="H200" s="3"/>
      <c r="I200" s="2"/>
      <c r="J200" s="29"/>
      <c r="K200" s="3"/>
      <c r="L200" s="2"/>
      <c r="M200" s="8"/>
      <c r="N200" s="3"/>
      <c r="O200" s="2"/>
      <c r="P200" s="3"/>
      <c r="Q200" s="2"/>
      <c r="R200" s="3"/>
      <c r="S200" s="3"/>
      <c r="T200" s="2"/>
      <c r="U200" s="8">
        <f t="shared" si="25"/>
        <v>0</v>
      </c>
      <c r="V200" s="8"/>
      <c r="W200" s="8"/>
      <c r="X200" s="8"/>
      <c r="Y200" s="8"/>
      <c r="Z200" s="8"/>
      <c r="AA200" s="8"/>
      <c r="AB200" s="8"/>
      <c r="AC200" s="8">
        <f t="shared" si="26"/>
        <v>0</v>
      </c>
      <c r="AD200" s="8"/>
      <c r="AE200" s="8"/>
      <c r="AF200" s="8"/>
      <c r="AG200" s="8"/>
      <c r="AH200" s="8"/>
      <c r="AI200" s="8"/>
      <c r="AJ200" s="8"/>
      <c r="AK200" s="8"/>
      <c r="AL200" s="8"/>
      <c r="AM200" s="8">
        <v>523538138</v>
      </c>
      <c r="AN200" s="8">
        <f t="shared" si="24"/>
        <v>523538138</v>
      </c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>
        <v>491573520</v>
      </c>
      <c r="AZ200" s="8"/>
      <c r="BA200" s="8">
        <f>VLOOKUP(B200,[1]Hoja3!J$3:K$674,2,0)</f>
        <v>355637368</v>
      </c>
      <c r="BB200" s="8"/>
      <c r="BC200" s="8">
        <f t="shared" si="27"/>
        <v>1370749026</v>
      </c>
      <c r="BD200" s="4">
        <v>491573520</v>
      </c>
      <c r="BE200" s="4">
        <f t="shared" si="28"/>
        <v>879175506</v>
      </c>
      <c r="BF200" s="30">
        <f t="shared" si="29"/>
        <v>1370749026</v>
      </c>
      <c r="BG200" s="18">
        <f t="shared" si="30"/>
        <v>0</v>
      </c>
      <c r="BH200" s="23"/>
      <c r="BI200" s="23"/>
      <c r="BJ200" s="23"/>
    </row>
    <row r="201" spans="1:66" ht="15" customHeight="1" x14ac:dyDescent="0.2">
      <c r="A201" s="1">
        <v>8000967501</v>
      </c>
      <c r="B201" s="1">
        <v>800096750</v>
      </c>
      <c r="C201" s="15">
        <v>216823168</v>
      </c>
      <c r="D201" s="16" t="s">
        <v>441</v>
      </c>
      <c r="E201" s="41" t="s">
        <v>1468</v>
      </c>
      <c r="F201" s="28"/>
      <c r="G201" s="2"/>
      <c r="H201" s="3"/>
      <c r="I201" s="2"/>
      <c r="J201" s="29"/>
      <c r="K201" s="3"/>
      <c r="L201" s="2"/>
      <c r="M201" s="8"/>
      <c r="N201" s="3"/>
      <c r="O201" s="2"/>
      <c r="P201" s="3"/>
      <c r="Q201" s="2"/>
      <c r="R201" s="3"/>
      <c r="S201" s="3"/>
      <c r="T201" s="2"/>
      <c r="U201" s="8">
        <f t="shared" si="25"/>
        <v>0</v>
      </c>
      <c r="V201" s="8"/>
      <c r="W201" s="8"/>
      <c r="X201" s="8"/>
      <c r="Y201" s="8"/>
      <c r="Z201" s="8"/>
      <c r="AA201" s="8"/>
      <c r="AB201" s="8"/>
      <c r="AC201" s="8">
        <f t="shared" si="26"/>
        <v>0</v>
      </c>
      <c r="AD201" s="8"/>
      <c r="AE201" s="8"/>
      <c r="AF201" s="8"/>
      <c r="AG201" s="8"/>
      <c r="AH201" s="8"/>
      <c r="AI201" s="8"/>
      <c r="AJ201" s="8"/>
      <c r="AK201" s="8"/>
      <c r="AL201" s="8"/>
      <c r="AM201" s="8">
        <v>244684888</v>
      </c>
      <c r="AN201" s="8">
        <f t="shared" si="24"/>
        <v>244684888</v>
      </c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>
        <v>153264680</v>
      </c>
      <c r="AZ201" s="8"/>
      <c r="BA201" s="8"/>
      <c r="BB201" s="8"/>
      <c r="BC201" s="8">
        <f t="shared" si="27"/>
        <v>397949568</v>
      </c>
      <c r="BD201" s="4">
        <v>153264680</v>
      </c>
      <c r="BE201" s="4">
        <f t="shared" si="28"/>
        <v>244684888</v>
      </c>
      <c r="BF201" s="30">
        <f t="shared" si="29"/>
        <v>397949568</v>
      </c>
      <c r="BG201" s="18">
        <f t="shared" si="30"/>
        <v>0</v>
      </c>
      <c r="BH201" s="23"/>
      <c r="BI201" s="23"/>
      <c r="BJ201" s="23"/>
    </row>
    <row r="202" spans="1:66" ht="15" customHeight="1" x14ac:dyDescent="0.2">
      <c r="A202" s="1">
        <v>8902062904</v>
      </c>
      <c r="B202" s="1">
        <v>890206290</v>
      </c>
      <c r="C202" s="15">
        <v>217668176</v>
      </c>
      <c r="D202" s="16" t="s">
        <v>827</v>
      </c>
      <c r="E202" s="41" t="s">
        <v>1843</v>
      </c>
      <c r="F202" s="28"/>
      <c r="G202" s="17"/>
      <c r="H202" s="3"/>
      <c r="I202" s="2"/>
      <c r="J202" s="29"/>
      <c r="K202" s="3"/>
      <c r="L202" s="17"/>
      <c r="M202" s="34"/>
      <c r="N202" s="3"/>
      <c r="O202" s="17"/>
      <c r="P202" s="3"/>
      <c r="Q202" s="2"/>
      <c r="R202" s="3"/>
      <c r="S202" s="3"/>
      <c r="T202" s="17"/>
      <c r="U202" s="8">
        <f t="shared" si="25"/>
        <v>0</v>
      </c>
      <c r="V202" s="8"/>
      <c r="W202" s="8"/>
      <c r="X202" s="8"/>
      <c r="Y202" s="8"/>
      <c r="Z202" s="8"/>
      <c r="AA202" s="8"/>
      <c r="AB202" s="8"/>
      <c r="AC202" s="8">
        <f t="shared" si="26"/>
        <v>0</v>
      </c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>
        <v>19147230</v>
      </c>
      <c r="AZ202" s="8"/>
      <c r="BA202" s="8">
        <f>VLOOKUP(B202,[1]Hoja3!J$3:K$674,2,0)</f>
        <v>35092485</v>
      </c>
      <c r="BB202" s="8"/>
      <c r="BC202" s="8">
        <f t="shared" si="27"/>
        <v>54239715</v>
      </c>
      <c r="BD202" s="4">
        <v>19147230</v>
      </c>
      <c r="BE202" s="4">
        <f t="shared" si="28"/>
        <v>35092485</v>
      </c>
      <c r="BF202" s="30">
        <f t="shared" si="29"/>
        <v>54239715</v>
      </c>
      <c r="BG202" s="18">
        <f t="shared" si="30"/>
        <v>0</v>
      </c>
      <c r="BH202" s="23"/>
      <c r="BI202" s="23"/>
      <c r="BJ202" s="14"/>
      <c r="BK202" s="14"/>
      <c r="BL202" s="14"/>
      <c r="BM202" s="14"/>
      <c r="BN202" s="14"/>
    </row>
    <row r="203" spans="1:66" ht="15" customHeight="1" x14ac:dyDescent="0.2">
      <c r="A203" s="1">
        <v>8923008151</v>
      </c>
      <c r="B203" s="1">
        <v>892300815</v>
      </c>
      <c r="C203" s="15">
        <v>217520175</v>
      </c>
      <c r="D203" s="16" t="s">
        <v>418</v>
      </c>
      <c r="E203" s="41" t="s">
        <v>1446</v>
      </c>
      <c r="F203" s="28"/>
      <c r="G203" s="2"/>
      <c r="H203" s="3"/>
      <c r="I203" s="2"/>
      <c r="J203" s="29"/>
      <c r="K203" s="3"/>
      <c r="L203" s="2"/>
      <c r="M203" s="8"/>
      <c r="N203" s="3"/>
      <c r="O203" s="2"/>
      <c r="P203" s="3"/>
      <c r="Q203" s="2"/>
      <c r="R203" s="3"/>
      <c r="S203" s="3"/>
      <c r="T203" s="2"/>
      <c r="U203" s="8">
        <f t="shared" si="25"/>
        <v>0</v>
      </c>
      <c r="V203" s="8"/>
      <c r="W203" s="8"/>
      <c r="X203" s="8"/>
      <c r="Y203" s="8"/>
      <c r="Z203" s="8"/>
      <c r="AA203" s="8"/>
      <c r="AB203" s="8"/>
      <c r="AC203" s="8">
        <f t="shared" si="26"/>
        <v>0</v>
      </c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>
        <v>433336935</v>
      </c>
      <c r="AZ203" s="8"/>
      <c r="BA203" s="8">
        <f>VLOOKUP(B203,[1]Hoja3!J$3:K$674,2,0)</f>
        <v>748431557</v>
      </c>
      <c r="BB203" s="8"/>
      <c r="BC203" s="8">
        <f t="shared" si="27"/>
        <v>1181768492</v>
      </c>
      <c r="BD203" s="4">
        <v>433336935</v>
      </c>
      <c r="BE203" s="4">
        <f t="shared" si="28"/>
        <v>748431557</v>
      </c>
      <c r="BF203" s="30">
        <f t="shared" si="29"/>
        <v>1181768492</v>
      </c>
      <c r="BG203" s="18">
        <f t="shared" si="30"/>
        <v>0</v>
      </c>
      <c r="BH203" s="23"/>
      <c r="BI203" s="23"/>
      <c r="BJ203" s="23"/>
    </row>
    <row r="204" spans="1:66" ht="15" customHeight="1" x14ac:dyDescent="0.2">
      <c r="A204" s="1">
        <v>8905031060</v>
      </c>
      <c r="B204" s="1">
        <v>890503106</v>
      </c>
      <c r="C204" s="15">
        <v>217254172</v>
      </c>
      <c r="D204" s="16" t="s">
        <v>757</v>
      </c>
      <c r="E204" s="41" t="s">
        <v>1776</v>
      </c>
      <c r="F204" s="28"/>
      <c r="G204" s="2"/>
      <c r="H204" s="3"/>
      <c r="I204" s="2"/>
      <c r="J204" s="29"/>
      <c r="K204" s="3"/>
      <c r="L204" s="2"/>
      <c r="M204" s="8"/>
      <c r="N204" s="3"/>
      <c r="O204" s="2"/>
      <c r="P204" s="3"/>
      <c r="Q204" s="2"/>
      <c r="R204" s="3"/>
      <c r="S204" s="3"/>
      <c r="T204" s="2"/>
      <c r="U204" s="8">
        <f t="shared" si="25"/>
        <v>0</v>
      </c>
      <c r="V204" s="8"/>
      <c r="W204" s="8"/>
      <c r="X204" s="8"/>
      <c r="Y204" s="8"/>
      <c r="Z204" s="8"/>
      <c r="AA204" s="8"/>
      <c r="AB204" s="8"/>
      <c r="AC204" s="8">
        <f t="shared" si="26"/>
        <v>0</v>
      </c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>
        <v>90393645</v>
      </c>
      <c r="AZ204" s="8"/>
      <c r="BA204" s="8">
        <f>VLOOKUP(B204,[1]Hoja3!J$3:K$674,2,0)</f>
        <v>243011424</v>
      </c>
      <c r="BB204" s="8"/>
      <c r="BC204" s="8">
        <f t="shared" si="27"/>
        <v>333405069</v>
      </c>
      <c r="BD204" s="4">
        <v>90393645</v>
      </c>
      <c r="BE204" s="4">
        <f t="shared" si="28"/>
        <v>243011424</v>
      </c>
      <c r="BF204" s="30">
        <f t="shared" si="29"/>
        <v>333405069</v>
      </c>
      <c r="BG204" s="18">
        <f t="shared" si="30"/>
        <v>0</v>
      </c>
      <c r="BH204" s="23"/>
      <c r="BI204" s="23"/>
      <c r="BJ204" s="23"/>
    </row>
    <row r="205" spans="1:66" ht="15" customHeight="1" x14ac:dyDescent="0.2">
      <c r="A205" s="1">
        <v>8918013574</v>
      </c>
      <c r="B205" s="1">
        <v>891801357</v>
      </c>
      <c r="C205" s="15">
        <v>217215172</v>
      </c>
      <c r="D205" s="16" t="s">
        <v>231</v>
      </c>
      <c r="E205" s="41" t="s">
        <v>1267</v>
      </c>
      <c r="F205" s="28"/>
      <c r="G205" s="17"/>
      <c r="H205" s="3"/>
      <c r="I205" s="2"/>
      <c r="J205" s="29"/>
      <c r="K205" s="3"/>
      <c r="L205" s="17"/>
      <c r="M205" s="34"/>
      <c r="N205" s="3"/>
      <c r="O205" s="17"/>
      <c r="P205" s="3"/>
      <c r="Q205" s="2"/>
      <c r="R205" s="3"/>
      <c r="S205" s="3"/>
      <c r="T205" s="17"/>
      <c r="U205" s="8">
        <f t="shared" si="25"/>
        <v>0</v>
      </c>
      <c r="V205" s="8"/>
      <c r="W205" s="8"/>
      <c r="X205" s="8"/>
      <c r="Y205" s="8"/>
      <c r="Z205" s="8"/>
      <c r="AA205" s="8"/>
      <c r="AB205" s="8"/>
      <c r="AC205" s="8">
        <f t="shared" si="26"/>
        <v>0</v>
      </c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>
        <v>23591040</v>
      </c>
      <c r="AZ205" s="8"/>
      <c r="BA205" s="8">
        <f>VLOOKUP(B205,[1]Hoja3!J$3:K$674,2,0)</f>
        <v>43766281</v>
      </c>
      <c r="BB205" s="8"/>
      <c r="BC205" s="8">
        <f t="shared" si="27"/>
        <v>67357321</v>
      </c>
      <c r="BD205" s="4">
        <v>23591040</v>
      </c>
      <c r="BE205" s="4">
        <f t="shared" si="28"/>
        <v>43766281</v>
      </c>
      <c r="BF205" s="30">
        <f t="shared" si="29"/>
        <v>67357321</v>
      </c>
      <c r="BG205" s="18">
        <f t="shared" si="30"/>
        <v>0</v>
      </c>
      <c r="BH205" s="23"/>
      <c r="BI205" s="23"/>
      <c r="BJ205" s="14"/>
      <c r="BK205" s="14"/>
      <c r="BL205" s="14"/>
      <c r="BM205" s="14"/>
      <c r="BN205" s="14"/>
    </row>
    <row r="206" spans="1:66" ht="15" customHeight="1" x14ac:dyDescent="0.2">
      <c r="A206" s="1">
        <v>8908011338</v>
      </c>
      <c r="B206" s="1">
        <v>890801133</v>
      </c>
      <c r="C206" s="15">
        <v>217417174</v>
      </c>
      <c r="D206" s="16" t="s">
        <v>340</v>
      </c>
      <c r="E206" s="41" t="s">
        <v>1371</v>
      </c>
      <c r="F206" s="28"/>
      <c r="G206" s="2"/>
      <c r="H206" s="3"/>
      <c r="I206" s="2"/>
      <c r="J206" s="29"/>
      <c r="K206" s="3"/>
      <c r="L206" s="2"/>
      <c r="M206" s="8"/>
      <c r="N206" s="3"/>
      <c r="O206" s="2"/>
      <c r="P206" s="3"/>
      <c r="Q206" s="2"/>
      <c r="R206" s="3"/>
      <c r="S206" s="3"/>
      <c r="T206" s="2"/>
      <c r="U206" s="8">
        <f t="shared" si="25"/>
        <v>0</v>
      </c>
      <c r="V206" s="8"/>
      <c r="W206" s="8"/>
      <c r="X206" s="8"/>
      <c r="Y206" s="8"/>
      <c r="Z206" s="8"/>
      <c r="AA206" s="8"/>
      <c r="AB206" s="8"/>
      <c r="AC206" s="8">
        <f t="shared" si="26"/>
        <v>0</v>
      </c>
      <c r="AD206" s="8"/>
      <c r="AE206" s="8"/>
      <c r="AF206" s="8"/>
      <c r="AG206" s="8"/>
      <c r="AH206" s="8"/>
      <c r="AI206" s="8"/>
      <c r="AJ206" s="8"/>
      <c r="AK206" s="8"/>
      <c r="AL206" s="8"/>
      <c r="AM206" s="8">
        <v>601237849</v>
      </c>
      <c r="AN206" s="8">
        <f>SUBTOTAL(9,AC206:AM206)</f>
        <v>601237849</v>
      </c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>
        <v>308574615</v>
      </c>
      <c r="AZ206" s="8"/>
      <c r="BA206" s="8"/>
      <c r="BB206" s="8"/>
      <c r="BC206" s="8">
        <f t="shared" si="27"/>
        <v>909812464</v>
      </c>
      <c r="BD206" s="4">
        <v>308574615</v>
      </c>
      <c r="BE206" s="4">
        <f t="shared" si="28"/>
        <v>601237849</v>
      </c>
      <c r="BF206" s="30">
        <f t="shared" si="29"/>
        <v>909812464</v>
      </c>
      <c r="BG206" s="18">
        <f t="shared" si="30"/>
        <v>0</v>
      </c>
      <c r="BH206" s="23"/>
      <c r="BI206" s="23"/>
      <c r="BJ206" s="23"/>
    </row>
    <row r="207" spans="1:66" ht="15" customHeight="1" x14ac:dyDescent="0.2">
      <c r="A207" s="1">
        <v>8000967531</v>
      </c>
      <c r="B207" s="1">
        <v>800096753</v>
      </c>
      <c r="C207" s="15">
        <v>218223182</v>
      </c>
      <c r="D207" s="16" t="s">
        <v>442</v>
      </c>
      <c r="E207" s="41" t="s">
        <v>1469</v>
      </c>
      <c r="F207" s="28"/>
      <c r="G207" s="2"/>
      <c r="H207" s="3"/>
      <c r="I207" s="2"/>
      <c r="J207" s="29"/>
      <c r="K207" s="3"/>
      <c r="L207" s="2"/>
      <c r="M207" s="8"/>
      <c r="N207" s="3"/>
      <c r="O207" s="2"/>
      <c r="P207" s="3"/>
      <c r="Q207" s="2"/>
      <c r="R207" s="3"/>
      <c r="S207" s="3"/>
      <c r="T207" s="2"/>
      <c r="U207" s="8">
        <f t="shared" si="25"/>
        <v>0</v>
      </c>
      <c r="V207" s="8"/>
      <c r="W207" s="8"/>
      <c r="X207" s="8"/>
      <c r="Y207" s="8"/>
      <c r="Z207" s="8"/>
      <c r="AA207" s="8"/>
      <c r="AB207" s="8"/>
      <c r="AC207" s="8">
        <f t="shared" si="26"/>
        <v>0</v>
      </c>
      <c r="AD207" s="8"/>
      <c r="AE207" s="8"/>
      <c r="AF207" s="8"/>
      <c r="AG207" s="8"/>
      <c r="AH207" s="8"/>
      <c r="AI207" s="8"/>
      <c r="AJ207" s="8"/>
      <c r="AK207" s="8"/>
      <c r="AL207" s="8"/>
      <c r="AM207" s="8">
        <v>340789518</v>
      </c>
      <c r="AN207" s="8">
        <f>SUBTOTAL(9,AC207:AM207)</f>
        <v>340789518</v>
      </c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>
        <f>VLOOKUP(B207,[1]Hoja3!J$3:K$674,2,0)</f>
        <v>109089339</v>
      </c>
      <c r="BB207" s="8"/>
      <c r="BC207" s="8">
        <f t="shared" si="27"/>
        <v>449878857</v>
      </c>
      <c r="BD207" s="4"/>
      <c r="BE207" s="4">
        <f t="shared" si="28"/>
        <v>449878857</v>
      </c>
      <c r="BF207" s="30">
        <f t="shared" si="29"/>
        <v>449878857</v>
      </c>
      <c r="BG207" s="18">
        <f t="shared" si="30"/>
        <v>0</v>
      </c>
      <c r="BH207" s="23"/>
      <c r="BI207" s="23"/>
      <c r="BJ207" s="23"/>
    </row>
    <row r="208" spans="1:66" ht="15" customHeight="1" x14ac:dyDescent="0.2">
      <c r="A208" s="1">
        <v>8999994675</v>
      </c>
      <c r="B208" s="1">
        <v>899999467</v>
      </c>
      <c r="C208" s="15">
        <v>217825178</v>
      </c>
      <c r="D208" s="16" t="s">
        <v>476</v>
      </c>
      <c r="E208" s="41" t="s">
        <v>1502</v>
      </c>
      <c r="F208" s="28"/>
      <c r="G208" s="2"/>
      <c r="H208" s="3"/>
      <c r="I208" s="2"/>
      <c r="J208" s="29"/>
      <c r="K208" s="3"/>
      <c r="L208" s="2"/>
      <c r="M208" s="8"/>
      <c r="N208" s="3"/>
      <c r="O208" s="2"/>
      <c r="P208" s="3"/>
      <c r="Q208" s="2"/>
      <c r="R208" s="3"/>
      <c r="S208" s="3"/>
      <c r="T208" s="2"/>
      <c r="U208" s="8">
        <f t="shared" si="25"/>
        <v>0</v>
      </c>
      <c r="V208" s="8"/>
      <c r="W208" s="8"/>
      <c r="X208" s="8"/>
      <c r="Y208" s="8"/>
      <c r="Z208" s="8"/>
      <c r="AA208" s="8"/>
      <c r="AB208" s="8"/>
      <c r="AC208" s="8">
        <f t="shared" si="26"/>
        <v>0</v>
      </c>
      <c r="AD208" s="8"/>
      <c r="AE208" s="8"/>
      <c r="AF208" s="8"/>
      <c r="AG208" s="8"/>
      <c r="AH208" s="8"/>
      <c r="AI208" s="8"/>
      <c r="AJ208" s="8"/>
      <c r="AK208" s="8"/>
      <c r="AL208" s="8"/>
      <c r="AM208" s="8">
        <v>148037076</v>
      </c>
      <c r="AN208" s="8">
        <f>SUBTOTAL(9,AC208:AM208)</f>
        <v>148037076</v>
      </c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>
        <v>52863030</v>
      </c>
      <c r="AZ208" s="8"/>
      <c r="BA208" s="8"/>
      <c r="BB208" s="8"/>
      <c r="BC208" s="8">
        <f t="shared" si="27"/>
        <v>200900106</v>
      </c>
      <c r="BD208" s="4">
        <v>52863030</v>
      </c>
      <c r="BE208" s="4">
        <f t="shared" si="28"/>
        <v>148037076</v>
      </c>
      <c r="BF208" s="30">
        <f t="shared" si="29"/>
        <v>200900106</v>
      </c>
      <c r="BG208" s="18">
        <f t="shared" si="30"/>
        <v>0</v>
      </c>
      <c r="BH208" s="23"/>
      <c r="BI208" s="23"/>
      <c r="BJ208" s="23"/>
    </row>
    <row r="209" spans="1:66" ht="15" customHeight="1" x14ac:dyDescent="0.2">
      <c r="A209" s="1">
        <v>8902080985</v>
      </c>
      <c r="B209" s="1">
        <v>890208098</v>
      </c>
      <c r="C209" s="15">
        <v>217968179</v>
      </c>
      <c r="D209" s="16" t="s">
        <v>828</v>
      </c>
      <c r="E209" s="41" t="s">
        <v>1844</v>
      </c>
      <c r="F209" s="28"/>
      <c r="G209" s="2"/>
      <c r="H209" s="3"/>
      <c r="I209" s="2"/>
      <c r="J209" s="29"/>
      <c r="K209" s="3"/>
      <c r="L209" s="2"/>
      <c r="M209" s="8"/>
      <c r="N209" s="3"/>
      <c r="O209" s="2"/>
      <c r="P209" s="3"/>
      <c r="Q209" s="2"/>
      <c r="R209" s="3"/>
      <c r="S209" s="3"/>
      <c r="T209" s="2"/>
      <c r="U209" s="8">
        <f t="shared" si="25"/>
        <v>0</v>
      </c>
      <c r="V209" s="8"/>
      <c r="W209" s="8"/>
      <c r="X209" s="8"/>
      <c r="Y209" s="8"/>
      <c r="Z209" s="8"/>
      <c r="AA209" s="8"/>
      <c r="AB209" s="8"/>
      <c r="AC209" s="8">
        <f t="shared" si="26"/>
        <v>0</v>
      </c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>
        <v>26967200</v>
      </c>
      <c r="AZ209" s="8"/>
      <c r="BA209" s="8">
        <f>VLOOKUP(B209,[1]Hoja3!J$3:K$674,2,0)</f>
        <v>59174324</v>
      </c>
      <c r="BB209" s="8"/>
      <c r="BC209" s="8">
        <f t="shared" si="27"/>
        <v>86141524</v>
      </c>
      <c r="BD209" s="4">
        <v>26967200</v>
      </c>
      <c r="BE209" s="4">
        <f t="shared" si="28"/>
        <v>59174324</v>
      </c>
      <c r="BF209" s="30">
        <f t="shared" si="29"/>
        <v>86141524</v>
      </c>
      <c r="BG209" s="18">
        <f t="shared" si="30"/>
        <v>0</v>
      </c>
      <c r="BH209" s="23"/>
      <c r="BI209" s="23"/>
      <c r="BJ209" s="23"/>
    </row>
    <row r="210" spans="1:66" ht="15" customHeight="1" x14ac:dyDescent="0.2">
      <c r="A210" s="1">
        <v>8918004750</v>
      </c>
      <c r="B210" s="1">
        <v>891800475</v>
      </c>
      <c r="C210" s="15">
        <v>217615176</v>
      </c>
      <c r="D210" s="16" t="s">
        <v>232</v>
      </c>
      <c r="E210" s="41" t="s">
        <v>1268</v>
      </c>
      <c r="F210" s="28"/>
      <c r="G210" s="17"/>
      <c r="H210" s="3"/>
      <c r="I210" s="2"/>
      <c r="J210" s="29"/>
      <c r="K210" s="3"/>
      <c r="L210" s="17"/>
      <c r="M210" s="34"/>
      <c r="N210" s="3"/>
      <c r="O210" s="17"/>
      <c r="P210" s="3"/>
      <c r="Q210" s="2"/>
      <c r="R210" s="3"/>
      <c r="S210" s="3"/>
      <c r="T210" s="17"/>
      <c r="U210" s="8">
        <f t="shared" si="25"/>
        <v>0</v>
      </c>
      <c r="V210" s="8"/>
      <c r="W210" s="8"/>
      <c r="X210" s="8"/>
      <c r="Y210" s="8"/>
      <c r="Z210" s="8"/>
      <c r="AA210" s="8"/>
      <c r="AB210" s="8"/>
      <c r="AC210" s="8">
        <f t="shared" si="26"/>
        <v>0</v>
      </c>
      <c r="AD210" s="8"/>
      <c r="AE210" s="8"/>
      <c r="AF210" s="8"/>
      <c r="AG210" s="8"/>
      <c r="AH210" s="8"/>
      <c r="AI210" s="8"/>
      <c r="AJ210" s="8"/>
      <c r="AK210" s="8"/>
      <c r="AL210" s="8"/>
      <c r="AM210" s="8">
        <v>769196030</v>
      </c>
      <c r="AN210" s="8">
        <f>SUBTOTAL(9,AC210:AM210)</f>
        <v>769196030</v>
      </c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>
        <v>367168025</v>
      </c>
      <c r="AZ210" s="8"/>
      <c r="BA210" s="8"/>
      <c r="BB210" s="8"/>
      <c r="BC210" s="8">
        <f t="shared" si="27"/>
        <v>1136364055</v>
      </c>
      <c r="BD210" s="4">
        <v>367168025</v>
      </c>
      <c r="BE210" s="4">
        <f t="shared" si="28"/>
        <v>769196030</v>
      </c>
      <c r="BF210" s="30">
        <f t="shared" si="29"/>
        <v>1136364055</v>
      </c>
      <c r="BG210" s="18">
        <f t="shared" si="30"/>
        <v>0</v>
      </c>
      <c r="BH210" s="23"/>
      <c r="BI210" s="23"/>
      <c r="BJ210" s="14"/>
      <c r="BK210" s="14"/>
      <c r="BL210" s="14"/>
      <c r="BM210" s="14"/>
      <c r="BN210" s="14"/>
    </row>
    <row r="211" spans="1:66" ht="15" customHeight="1" x14ac:dyDescent="0.2">
      <c r="A211" s="1">
        <v>8000997234</v>
      </c>
      <c r="B211" s="1">
        <v>800099723</v>
      </c>
      <c r="C211" s="15">
        <v>213215232</v>
      </c>
      <c r="D211" s="16" t="s">
        <v>245</v>
      </c>
      <c r="E211" s="41" t="s">
        <v>1280</v>
      </c>
      <c r="F211" s="28"/>
      <c r="G211" s="17"/>
      <c r="H211" s="3"/>
      <c r="I211" s="2"/>
      <c r="J211" s="29"/>
      <c r="K211" s="3"/>
      <c r="L211" s="17"/>
      <c r="M211" s="34"/>
      <c r="N211" s="3"/>
      <c r="O211" s="17"/>
      <c r="P211" s="3"/>
      <c r="Q211" s="2"/>
      <c r="R211" s="3"/>
      <c r="S211" s="3"/>
      <c r="T211" s="17"/>
      <c r="U211" s="8">
        <f t="shared" si="25"/>
        <v>0</v>
      </c>
      <c r="V211" s="8"/>
      <c r="W211" s="8"/>
      <c r="X211" s="8"/>
      <c r="Y211" s="8"/>
      <c r="Z211" s="8"/>
      <c r="AA211" s="8"/>
      <c r="AB211" s="8"/>
      <c r="AC211" s="8">
        <f t="shared" si="26"/>
        <v>0</v>
      </c>
      <c r="AD211" s="8"/>
      <c r="AE211" s="8"/>
      <c r="AF211" s="8"/>
      <c r="AG211" s="8"/>
      <c r="AH211" s="8"/>
      <c r="AI211" s="8"/>
      <c r="AJ211" s="8"/>
      <c r="AK211" s="8"/>
      <c r="AL211" s="8"/>
      <c r="AM211" s="8">
        <v>77112347</v>
      </c>
      <c r="AN211" s="8">
        <f>SUBTOTAL(9,AC211:AM211)</f>
        <v>77112347</v>
      </c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>
        <v>40431950</v>
      </c>
      <c r="AZ211" s="8"/>
      <c r="BA211" s="8"/>
      <c r="BB211" s="8"/>
      <c r="BC211" s="8">
        <f t="shared" si="27"/>
        <v>117544297</v>
      </c>
      <c r="BD211" s="4">
        <v>40431950</v>
      </c>
      <c r="BE211" s="4">
        <f t="shared" si="28"/>
        <v>77112347</v>
      </c>
      <c r="BF211" s="30">
        <f t="shared" si="29"/>
        <v>117544297</v>
      </c>
      <c r="BG211" s="18">
        <f t="shared" si="30"/>
        <v>0</v>
      </c>
      <c r="BH211" s="23"/>
      <c r="BI211" s="23"/>
      <c r="BJ211" s="14"/>
      <c r="BK211" s="14"/>
      <c r="BL211" s="14"/>
      <c r="BM211" s="14"/>
      <c r="BN211" s="14"/>
    </row>
    <row r="212" spans="1:66" ht="15" customHeight="1" x14ac:dyDescent="0.2">
      <c r="A212" s="1">
        <v>8000965850</v>
      </c>
      <c r="B212" s="1">
        <v>800096585</v>
      </c>
      <c r="C212" s="15">
        <v>217820178</v>
      </c>
      <c r="D212" s="16" t="s">
        <v>419</v>
      </c>
      <c r="E212" s="41" t="s">
        <v>1447</v>
      </c>
      <c r="F212" s="28"/>
      <c r="G212" s="2"/>
      <c r="H212" s="3"/>
      <c r="I212" s="2"/>
      <c r="J212" s="29"/>
      <c r="K212" s="3"/>
      <c r="L212" s="2"/>
      <c r="M212" s="8"/>
      <c r="N212" s="3"/>
      <c r="O212" s="2"/>
      <c r="P212" s="3"/>
      <c r="Q212" s="2"/>
      <c r="R212" s="3"/>
      <c r="S212" s="3"/>
      <c r="T212" s="2"/>
      <c r="U212" s="8">
        <f t="shared" si="25"/>
        <v>0</v>
      </c>
      <c r="V212" s="8"/>
      <c r="W212" s="8"/>
      <c r="X212" s="8"/>
      <c r="Y212" s="8"/>
      <c r="Z212" s="8"/>
      <c r="AA212" s="8"/>
      <c r="AB212" s="8"/>
      <c r="AC212" s="8">
        <f t="shared" si="26"/>
        <v>0</v>
      </c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>
        <f>VLOOKUP(B212,[1]Hoja3!J$3:K$674,2,0)</f>
        <v>496028409</v>
      </c>
      <c r="BB212" s="8"/>
      <c r="BC212" s="8">
        <f t="shared" si="27"/>
        <v>496028409</v>
      </c>
      <c r="BD212" s="4"/>
      <c r="BE212" s="4">
        <f t="shared" si="28"/>
        <v>496028409</v>
      </c>
      <c r="BF212" s="30">
        <f t="shared" si="29"/>
        <v>496028409</v>
      </c>
      <c r="BG212" s="18">
        <f t="shared" si="30"/>
        <v>0</v>
      </c>
      <c r="BH212" s="23"/>
      <c r="BI212" s="23"/>
      <c r="BJ212" s="23"/>
    </row>
    <row r="213" spans="1:66" ht="15" customHeight="1" x14ac:dyDescent="0.2">
      <c r="A213" s="1">
        <v>8000748599</v>
      </c>
      <c r="B213" s="1">
        <v>800074859</v>
      </c>
      <c r="C213" s="15">
        <v>218015180</v>
      </c>
      <c r="D213" s="16" t="s">
        <v>233</v>
      </c>
      <c r="E213" s="41" t="s">
        <v>1269</v>
      </c>
      <c r="F213" s="28"/>
      <c r="G213" s="17"/>
      <c r="H213" s="3"/>
      <c r="I213" s="2"/>
      <c r="J213" s="29"/>
      <c r="K213" s="3"/>
      <c r="L213" s="17"/>
      <c r="M213" s="34"/>
      <c r="N213" s="3"/>
      <c r="O213" s="17"/>
      <c r="P213" s="3"/>
      <c r="Q213" s="2"/>
      <c r="R213" s="3"/>
      <c r="S213" s="3"/>
      <c r="T213" s="17"/>
      <c r="U213" s="8">
        <f t="shared" si="25"/>
        <v>0</v>
      </c>
      <c r="V213" s="8"/>
      <c r="W213" s="8"/>
      <c r="X213" s="8"/>
      <c r="Y213" s="8"/>
      <c r="Z213" s="8"/>
      <c r="AA213" s="8"/>
      <c r="AB213" s="8"/>
      <c r="AC213" s="8">
        <f t="shared" si="26"/>
        <v>0</v>
      </c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>
        <v>38167855</v>
      </c>
      <c r="AZ213" s="8"/>
      <c r="BA213" s="8">
        <f>VLOOKUP(B213,[1]Hoja3!J$3:K$674,2,0)</f>
        <v>60490923</v>
      </c>
      <c r="BB213" s="8"/>
      <c r="BC213" s="8">
        <f t="shared" si="27"/>
        <v>98658778</v>
      </c>
      <c r="BD213" s="4">
        <v>38167855</v>
      </c>
      <c r="BE213" s="4">
        <f t="shared" si="28"/>
        <v>60490923</v>
      </c>
      <c r="BF213" s="30">
        <f t="shared" si="29"/>
        <v>98658778</v>
      </c>
      <c r="BG213" s="18">
        <f t="shared" si="30"/>
        <v>0</v>
      </c>
      <c r="BH213" s="23"/>
      <c r="BI213" s="23"/>
      <c r="BJ213" s="14"/>
      <c r="BK213" s="14"/>
      <c r="BL213" s="14"/>
      <c r="BM213" s="14"/>
      <c r="BN213" s="14"/>
    </row>
    <row r="214" spans="1:66" ht="15" customHeight="1" x14ac:dyDescent="0.2">
      <c r="A214" s="1">
        <v>8918019620</v>
      </c>
      <c r="B214" s="1">
        <v>891801962</v>
      </c>
      <c r="C214" s="15">
        <v>218315183</v>
      </c>
      <c r="D214" s="16" t="s">
        <v>234</v>
      </c>
      <c r="E214" s="41" t="s">
        <v>1270</v>
      </c>
      <c r="F214" s="28"/>
      <c r="G214" s="17"/>
      <c r="H214" s="3"/>
      <c r="I214" s="2"/>
      <c r="J214" s="29"/>
      <c r="K214" s="3"/>
      <c r="L214" s="17"/>
      <c r="M214" s="34"/>
      <c r="N214" s="3"/>
      <c r="O214" s="17"/>
      <c r="P214" s="3"/>
      <c r="Q214" s="2"/>
      <c r="R214" s="3"/>
      <c r="S214" s="3"/>
      <c r="T214" s="17"/>
      <c r="U214" s="8">
        <f t="shared" si="25"/>
        <v>0</v>
      </c>
      <c r="V214" s="8"/>
      <c r="W214" s="8"/>
      <c r="X214" s="8"/>
      <c r="Y214" s="8"/>
      <c r="Z214" s="8"/>
      <c r="AA214" s="8"/>
      <c r="AB214" s="8"/>
      <c r="AC214" s="8">
        <f t="shared" si="26"/>
        <v>0</v>
      </c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>
        <v>131619755</v>
      </c>
      <c r="AZ214" s="8"/>
      <c r="BA214" s="8">
        <f>VLOOKUP(B214,[1]Hoja3!J$3:K$674,2,0)</f>
        <v>163738881</v>
      </c>
      <c r="BB214" s="8"/>
      <c r="BC214" s="8">
        <f t="shared" si="27"/>
        <v>295358636</v>
      </c>
      <c r="BD214" s="4">
        <v>131619755</v>
      </c>
      <c r="BE214" s="4">
        <f t="shared" si="28"/>
        <v>163738881</v>
      </c>
      <c r="BF214" s="30">
        <f t="shared" si="29"/>
        <v>295358636</v>
      </c>
      <c r="BG214" s="18">
        <f t="shared" si="30"/>
        <v>0</v>
      </c>
      <c r="BH214" s="23"/>
      <c r="BI214" s="23"/>
      <c r="BJ214" s="14"/>
      <c r="BK214" s="14"/>
      <c r="BL214" s="14"/>
      <c r="BM214" s="14"/>
      <c r="BN214" s="14"/>
    </row>
    <row r="215" spans="1:66" ht="15" customHeight="1" x14ac:dyDescent="0.2">
      <c r="A215" s="1">
        <v>8905014224</v>
      </c>
      <c r="B215" s="1">
        <v>890501422</v>
      </c>
      <c r="C215" s="15">
        <v>217454174</v>
      </c>
      <c r="D215" s="16" t="s">
        <v>758</v>
      </c>
      <c r="E215" s="41" t="s">
        <v>1777</v>
      </c>
      <c r="F215" s="28"/>
      <c r="G215" s="2"/>
      <c r="H215" s="3"/>
      <c r="I215" s="2"/>
      <c r="J215" s="29"/>
      <c r="K215" s="3"/>
      <c r="L215" s="2"/>
      <c r="M215" s="8"/>
      <c r="N215" s="3"/>
      <c r="O215" s="2"/>
      <c r="P215" s="3"/>
      <c r="Q215" s="2"/>
      <c r="R215" s="3"/>
      <c r="S215" s="3"/>
      <c r="T215" s="2"/>
      <c r="U215" s="8">
        <f t="shared" si="25"/>
        <v>0</v>
      </c>
      <c r="V215" s="8"/>
      <c r="W215" s="8"/>
      <c r="X215" s="8"/>
      <c r="Y215" s="8"/>
      <c r="Z215" s="8"/>
      <c r="AA215" s="8"/>
      <c r="AB215" s="8"/>
      <c r="AC215" s="8">
        <f t="shared" si="26"/>
        <v>0</v>
      </c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>
        <v>86056230</v>
      </c>
      <c r="AZ215" s="8"/>
      <c r="BA215" s="8">
        <f>VLOOKUP(B215,[1]Hoja3!J$3:K$674,2,0)</f>
        <v>154679638</v>
      </c>
      <c r="BB215" s="8"/>
      <c r="BC215" s="8">
        <f t="shared" si="27"/>
        <v>240735868</v>
      </c>
      <c r="BD215" s="4">
        <v>86056230</v>
      </c>
      <c r="BE215" s="4">
        <f t="shared" si="28"/>
        <v>154679638</v>
      </c>
      <c r="BF215" s="30">
        <f t="shared" si="29"/>
        <v>240735868</v>
      </c>
      <c r="BG215" s="18">
        <f t="shared" si="30"/>
        <v>0</v>
      </c>
      <c r="BH215" s="23"/>
      <c r="BI215" s="23"/>
      <c r="BJ215" s="23"/>
    </row>
    <row r="216" spans="1:66" ht="15" customHeight="1" x14ac:dyDescent="0.2">
      <c r="A216" s="1">
        <v>8000344760</v>
      </c>
      <c r="B216" s="1">
        <v>800034476</v>
      </c>
      <c r="C216" s="15">
        <v>218515185</v>
      </c>
      <c r="D216" s="16" t="s">
        <v>235</v>
      </c>
      <c r="E216" s="41" t="s">
        <v>1271</v>
      </c>
      <c r="F216" s="28"/>
      <c r="G216" s="17"/>
      <c r="H216" s="3"/>
      <c r="I216" s="2"/>
      <c r="J216" s="29"/>
      <c r="K216" s="3"/>
      <c r="L216" s="17"/>
      <c r="M216" s="34"/>
      <c r="N216" s="3"/>
      <c r="O216" s="17"/>
      <c r="P216" s="3"/>
      <c r="Q216" s="2"/>
      <c r="R216" s="3"/>
      <c r="S216" s="3"/>
      <c r="T216" s="17"/>
      <c r="U216" s="8">
        <f t="shared" si="25"/>
        <v>0</v>
      </c>
      <c r="V216" s="8"/>
      <c r="W216" s="8"/>
      <c r="X216" s="8"/>
      <c r="Y216" s="8"/>
      <c r="Z216" s="8"/>
      <c r="AA216" s="8"/>
      <c r="AB216" s="8"/>
      <c r="AC216" s="8">
        <f t="shared" si="26"/>
        <v>0</v>
      </c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>
        <f>VLOOKUP(B216,[1]Hoja3!J$3:K$674,2,0)</f>
        <v>78856077</v>
      </c>
      <c r="BB216" s="8"/>
      <c r="BC216" s="8">
        <f t="shared" si="27"/>
        <v>78856077</v>
      </c>
      <c r="BD216" s="4"/>
      <c r="BE216" s="4">
        <f t="shared" si="28"/>
        <v>78856077</v>
      </c>
      <c r="BF216" s="30">
        <f t="shared" si="29"/>
        <v>78856077</v>
      </c>
      <c r="BG216" s="18">
        <f t="shared" si="30"/>
        <v>0</v>
      </c>
      <c r="BH216" s="23"/>
      <c r="BI216" s="23"/>
      <c r="BJ216" s="14"/>
      <c r="BK216" s="14"/>
      <c r="BL216" s="14"/>
      <c r="BM216" s="14"/>
      <c r="BN216" s="14"/>
    </row>
    <row r="217" spans="1:66" ht="15" customHeight="1" x14ac:dyDescent="0.2">
      <c r="A217" s="1">
        <v>8000149891</v>
      </c>
      <c r="B217" s="1">
        <v>800014989</v>
      </c>
      <c r="C217" s="15">
        <v>218715187</v>
      </c>
      <c r="D217" s="16" t="s">
        <v>236</v>
      </c>
      <c r="E217" s="41" t="s">
        <v>1272</v>
      </c>
      <c r="F217" s="28"/>
      <c r="G217" s="17"/>
      <c r="H217" s="3"/>
      <c r="I217" s="2"/>
      <c r="J217" s="29"/>
      <c r="K217" s="3"/>
      <c r="L217" s="17"/>
      <c r="M217" s="34"/>
      <c r="N217" s="3"/>
      <c r="O217" s="17"/>
      <c r="P217" s="3"/>
      <c r="Q217" s="2"/>
      <c r="R217" s="3"/>
      <c r="S217" s="3"/>
      <c r="T217" s="17"/>
      <c r="U217" s="8">
        <f t="shared" si="25"/>
        <v>0</v>
      </c>
      <c r="V217" s="8"/>
      <c r="W217" s="8"/>
      <c r="X217" s="8"/>
      <c r="Y217" s="8"/>
      <c r="Z217" s="8"/>
      <c r="AA217" s="8"/>
      <c r="AB217" s="8"/>
      <c r="AC217" s="8">
        <f t="shared" si="26"/>
        <v>0</v>
      </c>
      <c r="AD217" s="8"/>
      <c r="AE217" s="8"/>
      <c r="AF217" s="8"/>
      <c r="AG217" s="8"/>
      <c r="AH217" s="8"/>
      <c r="AI217" s="8"/>
      <c r="AJ217" s="8"/>
      <c r="AK217" s="8"/>
      <c r="AL217" s="8"/>
      <c r="AM217" s="8">
        <v>38628342</v>
      </c>
      <c r="AN217" s="8">
        <f>SUBTOTAL(9,AC217:AM217)</f>
        <v>38628342</v>
      </c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>
        <v>19393845</v>
      </c>
      <c r="AZ217" s="8"/>
      <c r="BA217" s="8"/>
      <c r="BB217" s="8"/>
      <c r="BC217" s="8">
        <f t="shared" si="27"/>
        <v>58022187</v>
      </c>
      <c r="BD217" s="4">
        <v>19393845</v>
      </c>
      <c r="BE217" s="4">
        <f t="shared" si="28"/>
        <v>38628342</v>
      </c>
      <c r="BF217" s="30">
        <f t="shared" si="29"/>
        <v>58022187</v>
      </c>
      <c r="BG217" s="18">
        <f t="shared" si="30"/>
        <v>0</v>
      </c>
      <c r="BH217" s="23"/>
      <c r="BI217" s="23"/>
      <c r="BJ217" s="14"/>
      <c r="BK217" s="14"/>
      <c r="BL217" s="14"/>
      <c r="BM217" s="14"/>
      <c r="BN217" s="14"/>
    </row>
    <row r="218" spans="1:66" ht="15" customHeight="1" x14ac:dyDescent="0.2">
      <c r="A218" s="1">
        <v>8001311779</v>
      </c>
      <c r="B218" s="1">
        <v>800131177</v>
      </c>
      <c r="C218" s="15">
        <v>213615236</v>
      </c>
      <c r="D218" s="16" t="s">
        <v>246</v>
      </c>
      <c r="E218" s="41" t="s">
        <v>1281</v>
      </c>
      <c r="F218" s="28"/>
      <c r="G218" s="17"/>
      <c r="H218" s="3"/>
      <c r="I218" s="2"/>
      <c r="J218" s="29"/>
      <c r="K218" s="3"/>
      <c r="L218" s="17"/>
      <c r="M218" s="34"/>
      <c r="N218" s="3"/>
      <c r="O218" s="17"/>
      <c r="P218" s="3"/>
      <c r="Q218" s="2"/>
      <c r="R218" s="3"/>
      <c r="S218" s="3"/>
      <c r="T218" s="17"/>
      <c r="U218" s="8">
        <f t="shared" si="25"/>
        <v>0</v>
      </c>
      <c r="V218" s="8"/>
      <c r="W218" s="8"/>
      <c r="X218" s="8"/>
      <c r="Y218" s="8"/>
      <c r="Z218" s="8"/>
      <c r="AA218" s="8"/>
      <c r="AB218" s="8"/>
      <c r="AC218" s="8">
        <f t="shared" si="26"/>
        <v>0</v>
      </c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>
        <v>13297055</v>
      </c>
      <c r="AZ218" s="8"/>
      <c r="BA218" s="8">
        <f>VLOOKUP(B218,[1]Hoja3!J$3:K$674,2,0)</f>
        <v>36532003</v>
      </c>
      <c r="BB218" s="8"/>
      <c r="BC218" s="8">
        <f t="shared" si="27"/>
        <v>49829058</v>
      </c>
      <c r="BD218" s="4">
        <v>13297055</v>
      </c>
      <c r="BE218" s="4">
        <f t="shared" si="28"/>
        <v>36532003</v>
      </c>
      <c r="BF218" s="30">
        <f t="shared" si="29"/>
        <v>49829058</v>
      </c>
      <c r="BG218" s="18">
        <f t="shared" si="30"/>
        <v>0</v>
      </c>
      <c r="BH218" s="23"/>
      <c r="BI218" s="23"/>
      <c r="BJ218" s="14"/>
      <c r="BK218" s="14"/>
      <c r="BL218" s="14"/>
      <c r="BM218" s="14"/>
      <c r="BN218" s="14"/>
    </row>
    <row r="219" spans="1:66" ht="15" customHeight="1" x14ac:dyDescent="0.2">
      <c r="A219" s="1">
        <v>8999994145</v>
      </c>
      <c r="B219" s="1">
        <v>899999414</v>
      </c>
      <c r="C219" s="15">
        <v>218125181</v>
      </c>
      <c r="D219" s="16" t="s">
        <v>477</v>
      </c>
      <c r="E219" s="41" t="s">
        <v>1503</v>
      </c>
      <c r="F219" s="28"/>
      <c r="G219" s="2"/>
      <c r="H219" s="3"/>
      <c r="I219" s="2"/>
      <c r="J219" s="29"/>
      <c r="K219" s="3"/>
      <c r="L219" s="2"/>
      <c r="M219" s="8"/>
      <c r="N219" s="3"/>
      <c r="O219" s="2"/>
      <c r="P219" s="3"/>
      <c r="Q219" s="2"/>
      <c r="R219" s="3"/>
      <c r="S219" s="3"/>
      <c r="T219" s="2"/>
      <c r="U219" s="8">
        <f t="shared" si="25"/>
        <v>0</v>
      </c>
      <c r="V219" s="8"/>
      <c r="W219" s="8"/>
      <c r="X219" s="8"/>
      <c r="Y219" s="8"/>
      <c r="Z219" s="8"/>
      <c r="AA219" s="8"/>
      <c r="AB219" s="8"/>
      <c r="AC219" s="8">
        <f t="shared" si="26"/>
        <v>0</v>
      </c>
      <c r="AD219" s="8"/>
      <c r="AE219" s="8"/>
      <c r="AF219" s="8"/>
      <c r="AG219" s="8"/>
      <c r="AH219" s="8"/>
      <c r="AI219" s="8"/>
      <c r="AJ219" s="8"/>
      <c r="AK219" s="8"/>
      <c r="AL219" s="8"/>
      <c r="AM219" s="8">
        <v>202516784</v>
      </c>
      <c r="AN219" s="8">
        <f t="shared" ref="AN219:AN225" si="31">SUBTOTAL(9,AC219:AM219)</f>
        <v>202516784</v>
      </c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>
        <f t="shared" si="27"/>
        <v>202516784</v>
      </c>
      <c r="BD219" s="4"/>
      <c r="BE219" s="4">
        <f t="shared" si="28"/>
        <v>202516784</v>
      </c>
      <c r="BF219" s="30">
        <f t="shared" si="29"/>
        <v>202516784</v>
      </c>
      <c r="BG219" s="18">
        <f t="shared" si="30"/>
        <v>0</v>
      </c>
      <c r="BH219" s="23"/>
      <c r="BI219" s="23"/>
      <c r="BJ219" s="23"/>
    </row>
    <row r="220" spans="1:66" ht="15" customHeight="1" x14ac:dyDescent="0.2">
      <c r="A220" s="1">
        <v>8999993573</v>
      </c>
      <c r="B220" s="1">
        <v>899999357</v>
      </c>
      <c r="C220" s="15">
        <v>218325183</v>
      </c>
      <c r="D220" s="16" t="s">
        <v>478</v>
      </c>
      <c r="E220" s="41" t="s">
        <v>1504</v>
      </c>
      <c r="F220" s="28"/>
      <c r="G220" s="2"/>
      <c r="H220" s="3"/>
      <c r="I220" s="2"/>
      <c r="J220" s="29"/>
      <c r="K220" s="3"/>
      <c r="L220" s="2"/>
      <c r="M220" s="8"/>
      <c r="N220" s="3"/>
      <c r="O220" s="2"/>
      <c r="P220" s="3"/>
      <c r="Q220" s="2"/>
      <c r="R220" s="3"/>
      <c r="S220" s="3"/>
      <c r="T220" s="2"/>
      <c r="U220" s="8">
        <f t="shared" si="25"/>
        <v>0</v>
      </c>
      <c r="V220" s="8"/>
      <c r="W220" s="8"/>
      <c r="X220" s="8"/>
      <c r="Y220" s="8"/>
      <c r="Z220" s="8"/>
      <c r="AA220" s="8"/>
      <c r="AB220" s="8"/>
      <c r="AC220" s="8">
        <f t="shared" si="26"/>
        <v>0</v>
      </c>
      <c r="AD220" s="8"/>
      <c r="AE220" s="8"/>
      <c r="AF220" s="8"/>
      <c r="AG220" s="8"/>
      <c r="AH220" s="8"/>
      <c r="AI220" s="8"/>
      <c r="AJ220" s="8"/>
      <c r="AK220" s="8"/>
      <c r="AL220" s="8"/>
      <c r="AM220" s="8">
        <v>314574221</v>
      </c>
      <c r="AN220" s="8">
        <f t="shared" si="31"/>
        <v>314574221</v>
      </c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>
        <v>133393865</v>
      </c>
      <c r="AZ220" s="8"/>
      <c r="BA220" s="8"/>
      <c r="BB220" s="8"/>
      <c r="BC220" s="8">
        <f t="shared" si="27"/>
        <v>447968086</v>
      </c>
      <c r="BD220" s="4">
        <v>133393865</v>
      </c>
      <c r="BE220" s="4">
        <f t="shared" si="28"/>
        <v>314574221</v>
      </c>
      <c r="BF220" s="30">
        <f t="shared" si="29"/>
        <v>447968086</v>
      </c>
      <c r="BG220" s="18">
        <f t="shared" si="30"/>
        <v>0</v>
      </c>
      <c r="BH220" s="23"/>
      <c r="BI220" s="23"/>
      <c r="BJ220" s="23"/>
    </row>
    <row r="221" spans="1:66" ht="15" customHeight="1" x14ac:dyDescent="0.2">
      <c r="A221" s="1">
        <v>8002544811</v>
      </c>
      <c r="B221" s="1">
        <v>800254481</v>
      </c>
      <c r="C221" s="15">
        <v>218813188</v>
      </c>
      <c r="D221" s="16" t="s">
        <v>188</v>
      </c>
      <c r="E221" s="41" t="s">
        <v>1218</v>
      </c>
      <c r="F221" s="28"/>
      <c r="G221" s="17"/>
      <c r="H221" s="3"/>
      <c r="I221" s="2"/>
      <c r="J221" s="29"/>
      <c r="K221" s="3"/>
      <c r="L221" s="17"/>
      <c r="M221" s="34"/>
      <c r="N221" s="3"/>
      <c r="O221" s="17"/>
      <c r="P221" s="3"/>
      <c r="Q221" s="2"/>
      <c r="R221" s="3"/>
      <c r="S221" s="3"/>
      <c r="T221" s="17"/>
      <c r="U221" s="8">
        <f t="shared" si="25"/>
        <v>0</v>
      </c>
      <c r="V221" s="8"/>
      <c r="W221" s="8"/>
      <c r="X221" s="8"/>
      <c r="Y221" s="8"/>
      <c r="Z221" s="8"/>
      <c r="AA221" s="8"/>
      <c r="AB221" s="8"/>
      <c r="AC221" s="8">
        <f t="shared" si="26"/>
        <v>0</v>
      </c>
      <c r="AD221" s="8"/>
      <c r="AE221" s="8"/>
      <c r="AF221" s="8"/>
      <c r="AG221" s="8"/>
      <c r="AH221" s="8"/>
      <c r="AI221" s="8"/>
      <c r="AJ221" s="8"/>
      <c r="AK221" s="8"/>
      <c r="AL221" s="8"/>
      <c r="AM221" s="8">
        <v>155965468</v>
      </c>
      <c r="AN221" s="8">
        <f t="shared" si="31"/>
        <v>155965468</v>
      </c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>
        <f>VLOOKUP(B221,[1]Hoja3!J$3:K$674,2,0)</f>
        <v>106110504</v>
      </c>
      <c r="BB221" s="8"/>
      <c r="BC221" s="8">
        <f t="shared" si="27"/>
        <v>262075972</v>
      </c>
      <c r="BD221" s="4"/>
      <c r="BE221" s="4">
        <f t="shared" si="28"/>
        <v>262075972</v>
      </c>
      <c r="BF221" s="30">
        <f t="shared" si="29"/>
        <v>262075972</v>
      </c>
      <c r="BG221" s="18">
        <f t="shared" si="30"/>
        <v>0</v>
      </c>
      <c r="BH221" s="23"/>
      <c r="BI221" s="23"/>
      <c r="BJ221" s="14"/>
      <c r="BK221" s="14"/>
      <c r="BL221" s="14"/>
      <c r="BM221" s="14"/>
      <c r="BN221" s="14"/>
    </row>
    <row r="222" spans="1:66" ht="15" customHeight="1" x14ac:dyDescent="0.2">
      <c r="A222" s="1">
        <v>8917800435</v>
      </c>
      <c r="B222" s="1">
        <v>891780043</v>
      </c>
      <c r="C222" s="15">
        <v>218947189</v>
      </c>
      <c r="D222" s="16" t="s">
        <v>2152</v>
      </c>
      <c r="E222" s="53" t="s">
        <v>1061</v>
      </c>
      <c r="F222" s="28"/>
      <c r="G222" s="2"/>
      <c r="H222" s="3"/>
      <c r="I222" s="2">
        <f>3766205378+75478410</f>
        <v>3841683788</v>
      </c>
      <c r="J222" s="29">
        <v>237697398</v>
      </c>
      <c r="K222" s="3">
        <v>476626249</v>
      </c>
      <c r="L222" s="2"/>
      <c r="M222" s="37">
        <f>SUM(F222:L222)</f>
        <v>4556007435</v>
      </c>
      <c r="N222" s="3"/>
      <c r="O222" s="2"/>
      <c r="P222" s="3"/>
      <c r="Q222" s="2">
        <f>3689113733+375000000</f>
        <v>4064113733</v>
      </c>
      <c r="R222" s="3">
        <v>237697398</v>
      </c>
      <c r="S222" s="3">
        <f>238928851+237697398</f>
        <v>476626249</v>
      </c>
      <c r="T222" s="2"/>
      <c r="U222" s="8">
        <f t="shared" si="25"/>
        <v>9334444815</v>
      </c>
      <c r="V222" s="8"/>
      <c r="W222" s="8"/>
      <c r="X222" s="8"/>
      <c r="Y222" s="8">
        <v>5354291703</v>
      </c>
      <c r="Z222" s="8">
        <v>212752992</v>
      </c>
      <c r="AA222" s="8">
        <v>494236169</v>
      </c>
      <c r="AB222" s="8"/>
      <c r="AC222" s="8">
        <f t="shared" si="26"/>
        <v>15395725679</v>
      </c>
      <c r="AD222" s="8"/>
      <c r="AE222" s="8"/>
      <c r="AF222" s="8"/>
      <c r="AG222" s="8"/>
      <c r="AH222" s="8">
        <v>3957805389</v>
      </c>
      <c r="AI222" s="8">
        <v>437377169</v>
      </c>
      <c r="AJ222" s="8">
        <v>235889117</v>
      </c>
      <c r="AK222" s="8">
        <v>595627967</v>
      </c>
      <c r="AL222" s="8"/>
      <c r="AM222" s="8">
        <v>914334830</v>
      </c>
      <c r="AN222" s="8">
        <f t="shared" si="31"/>
        <v>21536760151</v>
      </c>
      <c r="AO222" s="8"/>
      <c r="AP222" s="8"/>
      <c r="AQ222" s="8">
        <v>872996465</v>
      </c>
      <c r="AR222" s="8"/>
      <c r="AS222" s="8"/>
      <c r="AT222" s="8">
        <v>3957805389</v>
      </c>
      <c r="AU222" s="8"/>
      <c r="AV222" s="8">
        <v>235889117</v>
      </c>
      <c r="AW222" s="8">
        <v>403638985</v>
      </c>
      <c r="AX222" s="8"/>
      <c r="AY222" s="8"/>
      <c r="AZ222" s="8"/>
      <c r="BA222" s="8">
        <f>VLOOKUP(B222,[1]Hoja3!J$3:K$674,2,0)</f>
        <v>614556997</v>
      </c>
      <c r="BB222" s="8"/>
      <c r="BC222" s="8">
        <f t="shared" si="27"/>
        <v>27621647104</v>
      </c>
      <c r="BD222" s="4">
        <v>26092755277</v>
      </c>
      <c r="BE222" s="4">
        <f t="shared" si="28"/>
        <v>1528891827</v>
      </c>
      <c r="BF222" s="30">
        <f t="shared" si="29"/>
        <v>27621647104</v>
      </c>
      <c r="BG222" s="18">
        <f t="shared" si="30"/>
        <v>0</v>
      </c>
      <c r="BH222" s="23"/>
      <c r="BI222" s="23"/>
      <c r="BJ222" s="23"/>
    </row>
    <row r="223" spans="1:66" ht="15" customHeight="1" x14ac:dyDescent="0.2">
      <c r="A223" s="1">
        <v>8000967461</v>
      </c>
      <c r="B223" s="1">
        <v>800096746</v>
      </c>
      <c r="C223" s="15">
        <v>218923189</v>
      </c>
      <c r="D223" s="16" t="s">
        <v>443</v>
      </c>
      <c r="E223" s="41" t="s">
        <v>1470</v>
      </c>
      <c r="F223" s="28"/>
      <c r="G223" s="2"/>
      <c r="H223" s="3"/>
      <c r="I223" s="2"/>
      <c r="J223" s="29"/>
      <c r="K223" s="3"/>
      <c r="L223" s="2"/>
      <c r="M223" s="8"/>
      <c r="N223" s="3"/>
      <c r="O223" s="2"/>
      <c r="P223" s="3"/>
      <c r="Q223" s="2"/>
      <c r="R223" s="3"/>
      <c r="S223" s="3"/>
      <c r="T223" s="2"/>
      <c r="U223" s="8">
        <f t="shared" si="25"/>
        <v>0</v>
      </c>
      <c r="V223" s="8"/>
      <c r="W223" s="8"/>
      <c r="X223" s="8"/>
      <c r="Y223" s="8"/>
      <c r="Z223" s="8"/>
      <c r="AA223" s="8"/>
      <c r="AB223" s="8"/>
      <c r="AC223" s="8">
        <f t="shared" si="26"/>
        <v>0</v>
      </c>
      <c r="AD223" s="8"/>
      <c r="AE223" s="8"/>
      <c r="AF223" s="8"/>
      <c r="AG223" s="8"/>
      <c r="AH223" s="8"/>
      <c r="AI223" s="8"/>
      <c r="AJ223" s="8"/>
      <c r="AK223" s="8"/>
      <c r="AL223" s="8"/>
      <c r="AM223" s="8">
        <v>1071656497</v>
      </c>
      <c r="AN223" s="8">
        <f t="shared" si="31"/>
        <v>1071656497</v>
      </c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>
        <v>616066060</v>
      </c>
      <c r="AZ223" s="8"/>
      <c r="BA223" s="8"/>
      <c r="BB223" s="8"/>
      <c r="BC223" s="8">
        <f t="shared" si="27"/>
        <v>1687722557</v>
      </c>
      <c r="BD223" s="4">
        <v>616066060</v>
      </c>
      <c r="BE223" s="4">
        <f t="shared" si="28"/>
        <v>1071656497</v>
      </c>
      <c r="BF223" s="30">
        <f t="shared" si="29"/>
        <v>1687722557</v>
      </c>
      <c r="BG223" s="18">
        <f t="shared" si="30"/>
        <v>0</v>
      </c>
      <c r="BH223" s="23"/>
      <c r="BI223" s="23"/>
      <c r="BJ223" s="23"/>
    </row>
    <row r="224" spans="1:66" ht="15" customHeight="1" x14ac:dyDescent="0.2">
      <c r="A224" s="1">
        <v>8918019881</v>
      </c>
      <c r="B224" s="1">
        <v>891801988</v>
      </c>
      <c r="C224" s="15">
        <v>218915189</v>
      </c>
      <c r="D224" s="16" t="s">
        <v>237</v>
      </c>
      <c r="E224" s="41" t="s">
        <v>1260</v>
      </c>
      <c r="F224" s="28"/>
      <c r="G224" s="17"/>
      <c r="H224" s="3"/>
      <c r="I224" s="2"/>
      <c r="J224" s="29"/>
      <c r="K224" s="3"/>
      <c r="L224" s="17"/>
      <c r="M224" s="34"/>
      <c r="N224" s="3"/>
      <c r="O224" s="17"/>
      <c r="P224" s="3"/>
      <c r="Q224" s="2"/>
      <c r="R224" s="3"/>
      <c r="S224" s="3"/>
      <c r="T224" s="17"/>
      <c r="U224" s="8">
        <f t="shared" si="25"/>
        <v>0</v>
      </c>
      <c r="V224" s="8"/>
      <c r="W224" s="8"/>
      <c r="X224" s="8"/>
      <c r="Y224" s="8"/>
      <c r="Z224" s="8"/>
      <c r="AA224" s="8"/>
      <c r="AB224" s="8"/>
      <c r="AC224" s="8">
        <f t="shared" si="26"/>
        <v>0</v>
      </c>
      <c r="AD224" s="8"/>
      <c r="AE224" s="8"/>
      <c r="AF224" s="8"/>
      <c r="AG224" s="8"/>
      <c r="AH224" s="8"/>
      <c r="AI224" s="8"/>
      <c r="AJ224" s="8"/>
      <c r="AK224" s="8"/>
      <c r="AL224" s="8"/>
      <c r="AM224" s="8">
        <v>76709125</v>
      </c>
      <c r="AN224" s="8">
        <f t="shared" si="31"/>
        <v>76709125</v>
      </c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>
        <v>29289735</v>
      </c>
      <c r="AZ224" s="8"/>
      <c r="BA224" s="8">
        <f>VLOOKUP(B224,[1]Hoja3!J$3:K$674,2,0)</f>
        <v>16496756</v>
      </c>
      <c r="BB224" s="8"/>
      <c r="BC224" s="8">
        <f t="shared" si="27"/>
        <v>122495616</v>
      </c>
      <c r="BD224" s="4">
        <v>29289735</v>
      </c>
      <c r="BE224" s="4">
        <f t="shared" si="28"/>
        <v>93205881</v>
      </c>
      <c r="BF224" s="30">
        <f t="shared" si="29"/>
        <v>122495616</v>
      </c>
      <c r="BG224" s="18">
        <f t="shared" si="30"/>
        <v>0</v>
      </c>
      <c r="BH224" s="23"/>
      <c r="BI224" s="23"/>
      <c r="BJ224" s="14"/>
      <c r="BK224" s="14"/>
      <c r="BL224" s="14"/>
      <c r="BM224" s="14"/>
      <c r="BN224" s="14"/>
    </row>
    <row r="225" spans="1:66" ht="15" customHeight="1" x14ac:dyDescent="0.2">
      <c r="A225" s="1">
        <v>8902083632</v>
      </c>
      <c r="B225" s="1">
        <v>890208363</v>
      </c>
      <c r="C225" s="15">
        <v>219068190</v>
      </c>
      <c r="D225" s="16" t="s">
        <v>829</v>
      </c>
      <c r="E225" s="41" t="s">
        <v>1845</v>
      </c>
      <c r="F225" s="28"/>
      <c r="G225" s="2"/>
      <c r="H225" s="3"/>
      <c r="I225" s="2"/>
      <c r="J225" s="29"/>
      <c r="K225" s="3"/>
      <c r="L225" s="2"/>
      <c r="M225" s="8"/>
      <c r="N225" s="3"/>
      <c r="O225" s="2"/>
      <c r="P225" s="3"/>
      <c r="Q225" s="2"/>
      <c r="R225" s="3"/>
      <c r="S225" s="3"/>
      <c r="T225" s="2"/>
      <c r="U225" s="8">
        <f t="shared" si="25"/>
        <v>0</v>
      </c>
      <c r="V225" s="8"/>
      <c r="W225" s="8"/>
      <c r="X225" s="8"/>
      <c r="Y225" s="8"/>
      <c r="Z225" s="8"/>
      <c r="AA225" s="8"/>
      <c r="AB225" s="8"/>
      <c r="AC225" s="8">
        <f t="shared" si="26"/>
        <v>0</v>
      </c>
      <c r="AD225" s="8"/>
      <c r="AE225" s="8"/>
      <c r="AF225" s="8"/>
      <c r="AG225" s="8"/>
      <c r="AH225" s="8"/>
      <c r="AI225" s="8"/>
      <c r="AJ225" s="8"/>
      <c r="AK225" s="8"/>
      <c r="AL225" s="8"/>
      <c r="AM225" s="8">
        <v>546666176</v>
      </c>
      <c r="AN225" s="8">
        <f t="shared" si="31"/>
        <v>546666176</v>
      </c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>
        <v>270772760</v>
      </c>
      <c r="AZ225" s="8"/>
      <c r="BA225" s="8">
        <f>VLOOKUP(B225,[1]Hoja3!J$3:K$674,2,0)</f>
        <v>15813138</v>
      </c>
      <c r="BB225" s="8"/>
      <c r="BC225" s="8">
        <f t="shared" si="27"/>
        <v>833252074</v>
      </c>
      <c r="BD225" s="4">
        <v>270772760</v>
      </c>
      <c r="BE225" s="4">
        <f t="shared" si="28"/>
        <v>562479314</v>
      </c>
      <c r="BF225" s="30">
        <f t="shared" si="29"/>
        <v>833252074</v>
      </c>
      <c r="BG225" s="18">
        <f t="shared" si="30"/>
        <v>0</v>
      </c>
      <c r="BH225" s="23"/>
      <c r="BI225" s="23"/>
      <c r="BJ225" s="23"/>
    </row>
    <row r="226" spans="1:66" ht="15" customHeight="1" x14ac:dyDescent="0.2">
      <c r="A226" s="1">
        <v>8900010448</v>
      </c>
      <c r="B226" s="1">
        <v>890001044</v>
      </c>
      <c r="C226" s="15">
        <v>219063190</v>
      </c>
      <c r="D226" s="16" t="s">
        <v>791</v>
      </c>
      <c r="E226" s="41" t="s">
        <v>1809</v>
      </c>
      <c r="F226" s="28"/>
      <c r="G226" s="2"/>
      <c r="H226" s="3"/>
      <c r="I226" s="2"/>
      <c r="J226" s="29"/>
      <c r="K226" s="3"/>
      <c r="L226" s="2"/>
      <c r="M226" s="8"/>
      <c r="N226" s="3"/>
      <c r="O226" s="2"/>
      <c r="P226" s="3"/>
      <c r="Q226" s="2"/>
      <c r="R226" s="3"/>
      <c r="S226" s="3"/>
      <c r="T226" s="2"/>
      <c r="U226" s="8">
        <f t="shared" si="25"/>
        <v>0</v>
      </c>
      <c r="V226" s="8"/>
      <c r="W226" s="8"/>
      <c r="X226" s="8"/>
      <c r="Y226" s="8"/>
      <c r="Z226" s="8"/>
      <c r="AA226" s="8"/>
      <c r="AB226" s="8"/>
      <c r="AC226" s="8">
        <f t="shared" si="26"/>
        <v>0</v>
      </c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>
        <v>172217655</v>
      </c>
      <c r="AZ226" s="8"/>
      <c r="BA226" s="8">
        <f>VLOOKUP(B226,[1]Hoja3!J$3:K$674,2,0)</f>
        <v>318228701</v>
      </c>
      <c r="BB226" s="8"/>
      <c r="BC226" s="8">
        <f t="shared" si="27"/>
        <v>490446356</v>
      </c>
      <c r="BD226" s="4">
        <v>172217655</v>
      </c>
      <c r="BE226" s="4">
        <f t="shared" si="28"/>
        <v>318228701</v>
      </c>
      <c r="BF226" s="30">
        <f t="shared" si="29"/>
        <v>490446356</v>
      </c>
      <c r="BG226" s="18">
        <f t="shared" si="30"/>
        <v>0</v>
      </c>
      <c r="BH226" s="23"/>
      <c r="BI226" s="23"/>
      <c r="BJ226" s="23"/>
    </row>
    <row r="227" spans="1:66" ht="15" customHeight="1" x14ac:dyDescent="0.2">
      <c r="A227" s="1">
        <v>8909109133</v>
      </c>
      <c r="B227" s="1">
        <v>890910913</v>
      </c>
      <c r="C227" s="15">
        <v>219005190</v>
      </c>
      <c r="D227" s="16" t="s">
        <v>77</v>
      </c>
      <c r="E227" s="41" t="s">
        <v>1108</v>
      </c>
      <c r="F227" s="28"/>
      <c r="G227" s="2"/>
      <c r="H227" s="3"/>
      <c r="I227" s="2"/>
      <c r="J227" s="29"/>
      <c r="K227" s="3"/>
      <c r="L227" s="2"/>
      <c r="M227" s="8"/>
      <c r="N227" s="3"/>
      <c r="O227" s="2"/>
      <c r="P227" s="3"/>
      <c r="Q227" s="2"/>
      <c r="R227" s="3"/>
      <c r="S227" s="3"/>
      <c r="T227" s="2"/>
      <c r="U227" s="8">
        <f t="shared" si="25"/>
        <v>0</v>
      </c>
      <c r="V227" s="8"/>
      <c r="W227" s="8"/>
      <c r="X227" s="8"/>
      <c r="Y227" s="8"/>
      <c r="Z227" s="8"/>
      <c r="AA227" s="8"/>
      <c r="AB227" s="8"/>
      <c r="AC227" s="8">
        <f t="shared" si="26"/>
        <v>0</v>
      </c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>
        <v>64642015</v>
      </c>
      <c r="AZ227" s="8"/>
      <c r="BA227" s="8">
        <f>VLOOKUP(B227,[1]Hoja3!J$3:K$674,2,0)</f>
        <v>114170074</v>
      </c>
      <c r="BB227" s="8"/>
      <c r="BC227" s="8">
        <f t="shared" si="27"/>
        <v>178812089</v>
      </c>
      <c r="BD227" s="4">
        <v>64642015</v>
      </c>
      <c r="BE227" s="4">
        <f t="shared" si="28"/>
        <v>114170074</v>
      </c>
      <c r="BF227" s="30">
        <f t="shared" si="29"/>
        <v>178812089</v>
      </c>
      <c r="BG227" s="18">
        <f t="shared" si="30"/>
        <v>0</v>
      </c>
      <c r="BH227" s="23"/>
      <c r="BI227" s="23"/>
      <c r="BJ227" s="23"/>
    </row>
    <row r="228" spans="1:66" ht="15" customHeight="1" x14ac:dyDescent="0.2">
      <c r="A228" s="1">
        <v>8060007019</v>
      </c>
      <c r="B228" s="1">
        <v>806000701</v>
      </c>
      <c r="C228" s="15">
        <v>212213222</v>
      </c>
      <c r="D228" s="16" t="s">
        <v>190</v>
      </c>
      <c r="E228" s="41" t="s">
        <v>1220</v>
      </c>
      <c r="F228" s="28"/>
      <c r="G228" s="17"/>
      <c r="H228" s="3"/>
      <c r="I228" s="2"/>
      <c r="J228" s="29"/>
      <c r="K228" s="3"/>
      <c r="L228" s="17"/>
      <c r="M228" s="34"/>
      <c r="N228" s="3"/>
      <c r="O228" s="17"/>
      <c r="P228" s="3"/>
      <c r="Q228" s="2"/>
      <c r="R228" s="3"/>
      <c r="S228" s="3"/>
      <c r="T228" s="17"/>
      <c r="U228" s="8">
        <f t="shared" si="25"/>
        <v>0</v>
      </c>
      <c r="V228" s="8"/>
      <c r="W228" s="8"/>
      <c r="X228" s="8"/>
      <c r="Y228" s="8"/>
      <c r="Z228" s="8"/>
      <c r="AA228" s="8"/>
      <c r="AB228" s="8"/>
      <c r="AC228" s="8">
        <f t="shared" si="26"/>
        <v>0</v>
      </c>
      <c r="AD228" s="8"/>
      <c r="AE228" s="8"/>
      <c r="AF228" s="8"/>
      <c r="AG228" s="8"/>
      <c r="AH228" s="8"/>
      <c r="AI228" s="8"/>
      <c r="AJ228" s="8"/>
      <c r="AK228" s="8"/>
      <c r="AL228" s="8"/>
      <c r="AM228" s="8">
        <v>220109729</v>
      </c>
      <c r="AN228" s="8">
        <f>SUBTOTAL(9,AC228:AM228)</f>
        <v>220109729</v>
      </c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>
        <v>166333305</v>
      </c>
      <c r="AZ228" s="8"/>
      <c r="BA228" s="8"/>
      <c r="BB228" s="8"/>
      <c r="BC228" s="8">
        <f t="shared" si="27"/>
        <v>386443034</v>
      </c>
      <c r="BD228" s="4">
        <v>166333305</v>
      </c>
      <c r="BE228" s="4">
        <f t="shared" si="28"/>
        <v>220109729</v>
      </c>
      <c r="BF228" s="30">
        <f t="shared" si="29"/>
        <v>386443034</v>
      </c>
      <c r="BG228" s="18">
        <f t="shared" si="30"/>
        <v>0</v>
      </c>
      <c r="BH228" s="23"/>
      <c r="BI228" s="23"/>
      <c r="BJ228" s="14"/>
      <c r="BK228" s="14"/>
      <c r="BL228" s="14"/>
      <c r="BM228" s="14"/>
      <c r="BN228" s="14"/>
    </row>
    <row r="229" spans="1:66" ht="15" customHeight="1" x14ac:dyDescent="0.2">
      <c r="A229" s="1">
        <v>8909846340</v>
      </c>
      <c r="B229" s="1">
        <v>890984634</v>
      </c>
      <c r="C229" s="15">
        <v>219705197</v>
      </c>
      <c r="D229" s="16" t="s">
        <v>78</v>
      </c>
      <c r="E229" s="41" t="s">
        <v>1109</v>
      </c>
      <c r="F229" s="28"/>
      <c r="G229" s="2"/>
      <c r="H229" s="3"/>
      <c r="I229" s="2"/>
      <c r="J229" s="29"/>
      <c r="K229" s="3"/>
      <c r="L229" s="2"/>
      <c r="M229" s="8"/>
      <c r="N229" s="3"/>
      <c r="O229" s="2"/>
      <c r="P229" s="3"/>
      <c r="Q229" s="2"/>
      <c r="R229" s="3"/>
      <c r="S229" s="3"/>
      <c r="T229" s="2"/>
      <c r="U229" s="8">
        <f t="shared" si="25"/>
        <v>0</v>
      </c>
      <c r="V229" s="8"/>
      <c r="W229" s="8"/>
      <c r="X229" s="8"/>
      <c r="Y229" s="8"/>
      <c r="Z229" s="8"/>
      <c r="AA229" s="8"/>
      <c r="AB229" s="8"/>
      <c r="AC229" s="8">
        <f t="shared" si="26"/>
        <v>0</v>
      </c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>
        <v>91198875</v>
      </c>
      <c r="AZ229" s="8"/>
      <c r="BA229" s="8">
        <f>VLOOKUP(B229,[1]Hoja3!J$3:K$674,2,0)</f>
        <v>233433387</v>
      </c>
      <c r="BB229" s="8"/>
      <c r="BC229" s="8">
        <f t="shared" si="27"/>
        <v>324632262</v>
      </c>
      <c r="BD229" s="4">
        <v>91198875</v>
      </c>
      <c r="BE229" s="4">
        <f t="shared" si="28"/>
        <v>233433387</v>
      </c>
      <c r="BF229" s="30">
        <f t="shared" si="29"/>
        <v>324632262</v>
      </c>
      <c r="BG229" s="18">
        <f t="shared" si="30"/>
        <v>0</v>
      </c>
      <c r="BH229" s="23"/>
      <c r="BI229" s="23"/>
      <c r="BJ229" s="23"/>
    </row>
    <row r="230" spans="1:66" ht="15" customHeight="1" x14ac:dyDescent="0.2">
      <c r="A230" s="1">
        <v>8001000517</v>
      </c>
      <c r="B230" s="1">
        <v>800100051</v>
      </c>
      <c r="C230" s="15">
        <v>210073200</v>
      </c>
      <c r="D230" s="16" t="s">
        <v>2213</v>
      </c>
      <c r="E230" s="41" t="s">
        <v>1939</v>
      </c>
      <c r="F230" s="28"/>
      <c r="G230" s="2"/>
      <c r="H230" s="3"/>
      <c r="I230" s="2"/>
      <c r="J230" s="29"/>
      <c r="K230" s="3"/>
      <c r="L230" s="2"/>
      <c r="M230" s="8"/>
      <c r="N230" s="3"/>
      <c r="O230" s="2"/>
      <c r="P230" s="3"/>
      <c r="Q230" s="2"/>
      <c r="R230" s="3"/>
      <c r="S230" s="3"/>
      <c r="T230" s="2"/>
      <c r="U230" s="8">
        <f t="shared" si="25"/>
        <v>0</v>
      </c>
      <c r="V230" s="8"/>
      <c r="W230" s="8"/>
      <c r="X230" s="8"/>
      <c r="Y230" s="8"/>
      <c r="Z230" s="8"/>
      <c r="AA230" s="8"/>
      <c r="AB230" s="8"/>
      <c r="AC230" s="8">
        <f t="shared" si="26"/>
        <v>0</v>
      </c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>
        <v>62689335</v>
      </c>
      <c r="AZ230" s="8"/>
      <c r="BA230" s="8">
        <f>VLOOKUP(B230,[1]Hoja3!J$3:K$674,2,0)</f>
        <v>145421799</v>
      </c>
      <c r="BB230" s="8"/>
      <c r="BC230" s="8">
        <f t="shared" si="27"/>
        <v>208111134</v>
      </c>
      <c r="BD230" s="4">
        <v>62689335</v>
      </c>
      <c r="BE230" s="4">
        <f t="shared" si="28"/>
        <v>145421799</v>
      </c>
      <c r="BF230" s="30">
        <f t="shared" si="29"/>
        <v>208111134</v>
      </c>
      <c r="BG230" s="18">
        <f t="shared" si="30"/>
        <v>0</v>
      </c>
      <c r="BH230" s="23"/>
      <c r="BI230" s="23"/>
      <c r="BJ230" s="23"/>
    </row>
    <row r="231" spans="1:66" ht="15" customHeight="1" x14ac:dyDescent="0.2">
      <c r="A231" s="1">
        <v>8999994668</v>
      </c>
      <c r="B231" s="1">
        <v>899999466</v>
      </c>
      <c r="C231" s="15">
        <v>210025200</v>
      </c>
      <c r="D231" s="16" t="s">
        <v>479</v>
      </c>
      <c r="E231" s="41" t="s">
        <v>1505</v>
      </c>
      <c r="F231" s="28"/>
      <c r="G231" s="2"/>
      <c r="H231" s="3"/>
      <c r="I231" s="2"/>
      <c r="J231" s="29"/>
      <c r="K231" s="3"/>
      <c r="L231" s="2"/>
      <c r="M231" s="8"/>
      <c r="N231" s="3"/>
      <c r="O231" s="2"/>
      <c r="P231" s="3"/>
      <c r="Q231" s="2"/>
      <c r="R231" s="3"/>
      <c r="S231" s="3"/>
      <c r="T231" s="2"/>
      <c r="U231" s="8">
        <f t="shared" si="25"/>
        <v>0</v>
      </c>
      <c r="V231" s="8"/>
      <c r="W231" s="8"/>
      <c r="X231" s="8"/>
      <c r="Y231" s="8"/>
      <c r="Z231" s="8"/>
      <c r="AA231" s="8"/>
      <c r="AB231" s="8"/>
      <c r="AC231" s="8">
        <f t="shared" si="26"/>
        <v>0</v>
      </c>
      <c r="AD231" s="8"/>
      <c r="AE231" s="8"/>
      <c r="AF231" s="8"/>
      <c r="AG231" s="8"/>
      <c r="AH231" s="8"/>
      <c r="AI231" s="8"/>
      <c r="AJ231" s="8"/>
      <c r="AK231" s="8"/>
      <c r="AL231" s="8"/>
      <c r="AM231" s="8">
        <v>291290790</v>
      </c>
      <c r="AN231" s="8">
        <f>SUBTOTAL(9,AC231:AM231)</f>
        <v>291290790</v>
      </c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>
        <v>99578010</v>
      </c>
      <c r="AZ231" s="8"/>
      <c r="BA231" s="8"/>
      <c r="BB231" s="8"/>
      <c r="BC231" s="8">
        <f t="shared" si="27"/>
        <v>390868800</v>
      </c>
      <c r="BD231" s="4">
        <v>99578010</v>
      </c>
      <c r="BE231" s="4">
        <f t="shared" si="28"/>
        <v>291290790</v>
      </c>
      <c r="BF231" s="30">
        <f t="shared" si="29"/>
        <v>390868800</v>
      </c>
      <c r="BG231" s="18">
        <f t="shared" si="30"/>
        <v>0</v>
      </c>
      <c r="BH231" s="23"/>
      <c r="BI231" s="23"/>
      <c r="BJ231" s="23"/>
    </row>
    <row r="232" spans="1:66" ht="15" customHeight="1" x14ac:dyDescent="0.2">
      <c r="A232" s="1">
        <v>8911800281</v>
      </c>
      <c r="B232" s="1">
        <v>891180028</v>
      </c>
      <c r="C232" s="15">
        <v>210641206</v>
      </c>
      <c r="D232" s="16" t="s">
        <v>600</v>
      </c>
      <c r="E232" s="41" t="s">
        <v>1620</v>
      </c>
      <c r="F232" s="28"/>
      <c r="G232" s="2"/>
      <c r="H232" s="3"/>
      <c r="I232" s="2"/>
      <c r="J232" s="29"/>
      <c r="K232" s="3"/>
      <c r="L232" s="2"/>
      <c r="M232" s="8"/>
      <c r="N232" s="3"/>
      <c r="O232" s="2"/>
      <c r="P232" s="3"/>
      <c r="Q232" s="2"/>
      <c r="R232" s="3"/>
      <c r="S232" s="3"/>
      <c r="T232" s="2"/>
      <c r="U232" s="8">
        <f t="shared" si="25"/>
        <v>0</v>
      </c>
      <c r="V232" s="8"/>
      <c r="W232" s="8"/>
      <c r="X232" s="8"/>
      <c r="Y232" s="8"/>
      <c r="Z232" s="8"/>
      <c r="AA232" s="8"/>
      <c r="AB232" s="8"/>
      <c r="AC232" s="8">
        <f t="shared" si="26"/>
        <v>0</v>
      </c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>
        <v>69581595</v>
      </c>
      <c r="AZ232" s="8"/>
      <c r="BA232" s="8">
        <f>VLOOKUP(B232,[1]Hoja3!J$3:K$674,2,0)</f>
        <v>107047479</v>
      </c>
      <c r="BB232" s="8"/>
      <c r="BC232" s="8">
        <f t="shared" si="27"/>
        <v>176629074</v>
      </c>
      <c r="BD232" s="4">
        <v>69581595</v>
      </c>
      <c r="BE232" s="4">
        <f t="shared" si="28"/>
        <v>107047479</v>
      </c>
      <c r="BF232" s="30">
        <f t="shared" si="29"/>
        <v>176629074</v>
      </c>
      <c r="BG232" s="18">
        <f t="shared" si="30"/>
        <v>0</v>
      </c>
      <c r="BH232" s="23"/>
      <c r="BI232" s="23"/>
      <c r="BJ232" s="23"/>
    </row>
    <row r="233" spans="1:66" ht="15" customHeight="1" x14ac:dyDescent="0.2">
      <c r="A233" s="1">
        <v>8000198169</v>
      </c>
      <c r="B233" s="1">
        <v>800019816</v>
      </c>
      <c r="C233" s="15">
        <v>210352203</v>
      </c>
      <c r="D233" s="16" t="s">
        <v>2133</v>
      </c>
      <c r="E233" s="41" t="s">
        <v>1722</v>
      </c>
      <c r="F233" s="28"/>
      <c r="G233" s="2"/>
      <c r="H233" s="3"/>
      <c r="I233" s="2"/>
      <c r="J233" s="29"/>
      <c r="K233" s="3"/>
      <c r="L233" s="2"/>
      <c r="M233" s="8"/>
      <c r="N233" s="3"/>
      <c r="O233" s="2"/>
      <c r="P233" s="3"/>
      <c r="Q233" s="2"/>
      <c r="R233" s="3"/>
      <c r="S233" s="3"/>
      <c r="T233" s="2"/>
      <c r="U233" s="8">
        <f t="shared" si="25"/>
        <v>0</v>
      </c>
      <c r="V233" s="8"/>
      <c r="W233" s="8"/>
      <c r="X233" s="8"/>
      <c r="Y233" s="8"/>
      <c r="Z233" s="8"/>
      <c r="AA233" s="8"/>
      <c r="AB233" s="8"/>
      <c r="AC233" s="8">
        <f t="shared" si="26"/>
        <v>0</v>
      </c>
      <c r="AD233" s="8"/>
      <c r="AE233" s="8"/>
      <c r="AF233" s="8"/>
      <c r="AG233" s="8"/>
      <c r="AH233" s="8"/>
      <c r="AI233" s="8"/>
      <c r="AJ233" s="8"/>
      <c r="AK233" s="8"/>
      <c r="AL233" s="8"/>
      <c r="AM233" s="8">
        <v>30616612</v>
      </c>
      <c r="AN233" s="8">
        <f>SUBTOTAL(9,AC233:AM233)</f>
        <v>30616612</v>
      </c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>
        <v>71275180</v>
      </c>
      <c r="AZ233" s="8"/>
      <c r="BA233" s="8">
        <f>VLOOKUP(B233,[1]Hoja3!J$3:K$674,2,0)</f>
        <v>98814747</v>
      </c>
      <c r="BB233" s="8"/>
      <c r="BC233" s="8">
        <f t="shared" si="27"/>
        <v>200706539</v>
      </c>
      <c r="BD233" s="4">
        <v>71275180</v>
      </c>
      <c r="BE233" s="4">
        <f t="shared" si="28"/>
        <v>129431359</v>
      </c>
      <c r="BF233" s="30">
        <f t="shared" si="29"/>
        <v>200706539</v>
      </c>
      <c r="BG233" s="18">
        <f t="shared" si="30"/>
        <v>0</v>
      </c>
      <c r="BH233" s="23"/>
      <c r="BI233" s="23"/>
      <c r="BJ233" s="23"/>
    </row>
    <row r="234" spans="1:66" ht="15" customHeight="1" x14ac:dyDescent="0.2">
      <c r="A234" s="1">
        <v>8000186509</v>
      </c>
      <c r="B234" s="1">
        <v>800018650</v>
      </c>
      <c r="C234" s="15">
        <v>211986219</v>
      </c>
      <c r="D234" s="16" t="s">
        <v>975</v>
      </c>
      <c r="E234" s="41" t="s">
        <v>2035</v>
      </c>
      <c r="F234" s="28"/>
      <c r="G234" s="2"/>
      <c r="H234" s="3"/>
      <c r="I234" s="2"/>
      <c r="J234" s="29"/>
      <c r="K234" s="3"/>
      <c r="L234" s="2"/>
      <c r="M234" s="8"/>
      <c r="N234" s="3"/>
      <c r="O234" s="2"/>
      <c r="P234" s="3"/>
      <c r="Q234" s="2"/>
      <c r="R234" s="3"/>
      <c r="S234" s="3"/>
      <c r="T234" s="2"/>
      <c r="U234" s="8">
        <f t="shared" si="25"/>
        <v>0</v>
      </c>
      <c r="V234" s="8"/>
      <c r="W234" s="8"/>
      <c r="X234" s="8"/>
      <c r="Y234" s="8"/>
      <c r="Z234" s="8"/>
      <c r="AA234" s="8"/>
      <c r="AB234" s="8"/>
      <c r="AC234" s="8">
        <f t="shared" si="26"/>
        <v>0</v>
      </c>
      <c r="AD234" s="8"/>
      <c r="AE234" s="8"/>
      <c r="AF234" s="8"/>
      <c r="AG234" s="8"/>
      <c r="AH234" s="8"/>
      <c r="AI234" s="8"/>
      <c r="AJ234" s="8"/>
      <c r="AK234" s="8"/>
      <c r="AL234" s="8"/>
      <c r="AM234" s="8">
        <v>18023767</v>
      </c>
      <c r="AN234" s="8">
        <f>SUBTOTAL(9,AC234:AM234)</f>
        <v>18023767</v>
      </c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>
        <v>35200850</v>
      </c>
      <c r="AZ234" s="8"/>
      <c r="BA234" s="8">
        <f>VLOOKUP(B234,[1]Hoja3!J$3:K$674,2,0)</f>
        <v>61034429</v>
      </c>
      <c r="BB234" s="8"/>
      <c r="BC234" s="8">
        <f t="shared" si="27"/>
        <v>114259046</v>
      </c>
      <c r="BD234" s="4">
        <v>35200850</v>
      </c>
      <c r="BE234" s="4">
        <f t="shared" si="28"/>
        <v>79058196</v>
      </c>
      <c r="BF234" s="30">
        <f t="shared" si="29"/>
        <v>114259046</v>
      </c>
      <c r="BG234" s="18">
        <f t="shared" si="30"/>
        <v>0</v>
      </c>
      <c r="BH234" s="23"/>
      <c r="BI234" s="23"/>
      <c r="BJ234" s="23"/>
    </row>
    <row r="235" spans="1:66" ht="15" customHeight="1" x14ac:dyDescent="0.2">
      <c r="A235" s="1">
        <v>8922800537</v>
      </c>
      <c r="B235" s="1">
        <v>892280053</v>
      </c>
      <c r="C235" s="15">
        <v>210470204</v>
      </c>
      <c r="D235" s="16" t="s">
        <v>892</v>
      </c>
      <c r="E235" s="41" t="s">
        <v>1906</v>
      </c>
      <c r="F235" s="28"/>
      <c r="G235" s="2"/>
      <c r="H235" s="3"/>
      <c r="I235" s="2"/>
      <c r="J235" s="29"/>
      <c r="K235" s="3"/>
      <c r="L235" s="2"/>
      <c r="M235" s="8"/>
      <c r="N235" s="3"/>
      <c r="O235" s="2"/>
      <c r="P235" s="3"/>
      <c r="Q235" s="2"/>
      <c r="R235" s="3"/>
      <c r="S235" s="3"/>
      <c r="T235" s="2"/>
      <c r="U235" s="8">
        <f t="shared" si="25"/>
        <v>0</v>
      </c>
      <c r="V235" s="8"/>
      <c r="W235" s="8"/>
      <c r="X235" s="8"/>
      <c r="Y235" s="8"/>
      <c r="Z235" s="8"/>
      <c r="AA235" s="8"/>
      <c r="AB235" s="8"/>
      <c r="AC235" s="8">
        <f t="shared" si="26"/>
        <v>0</v>
      </c>
      <c r="AD235" s="8"/>
      <c r="AE235" s="8"/>
      <c r="AF235" s="8"/>
      <c r="AG235" s="8"/>
      <c r="AH235" s="8"/>
      <c r="AI235" s="8"/>
      <c r="AJ235" s="8"/>
      <c r="AK235" s="8"/>
      <c r="AL235" s="8"/>
      <c r="AM235" s="8">
        <v>100425925</v>
      </c>
      <c r="AN235" s="8">
        <f>SUBTOTAL(9,AC235:AM235)</f>
        <v>100425925</v>
      </c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>
        <v>99508630</v>
      </c>
      <c r="AZ235" s="8"/>
      <c r="BA235" s="8">
        <f>VLOOKUP(B235,[1]Hoja3!J$3:K$674,2,0)</f>
        <v>30836612</v>
      </c>
      <c r="BB235" s="8"/>
      <c r="BC235" s="8">
        <f t="shared" si="27"/>
        <v>230771167</v>
      </c>
      <c r="BD235" s="4">
        <v>99508630</v>
      </c>
      <c r="BE235" s="4">
        <f t="shared" si="28"/>
        <v>131262537</v>
      </c>
      <c r="BF235" s="30">
        <f t="shared" si="29"/>
        <v>230771167</v>
      </c>
      <c r="BG235" s="18">
        <f t="shared" si="30"/>
        <v>0</v>
      </c>
      <c r="BH235" s="23"/>
      <c r="BI235" s="23"/>
      <c r="BJ235" s="23"/>
    </row>
    <row r="236" spans="1:66" ht="15" customHeight="1" x14ac:dyDescent="0.2">
      <c r="A236" s="1">
        <v>8918019321</v>
      </c>
      <c r="B236" s="1">
        <v>891801932</v>
      </c>
      <c r="C236" s="15">
        <v>210415204</v>
      </c>
      <c r="D236" s="16" t="s">
        <v>238</v>
      </c>
      <c r="E236" s="41" t="s">
        <v>1273</v>
      </c>
      <c r="F236" s="28"/>
      <c r="G236" s="17"/>
      <c r="H236" s="3"/>
      <c r="I236" s="2"/>
      <c r="J236" s="29"/>
      <c r="K236" s="3"/>
      <c r="L236" s="17"/>
      <c r="M236" s="34"/>
      <c r="N236" s="3"/>
      <c r="O236" s="17"/>
      <c r="P236" s="3"/>
      <c r="Q236" s="2"/>
      <c r="R236" s="3"/>
      <c r="S236" s="3"/>
      <c r="T236" s="17"/>
      <c r="U236" s="8">
        <f t="shared" si="25"/>
        <v>0</v>
      </c>
      <c r="V236" s="8"/>
      <c r="W236" s="8"/>
      <c r="X236" s="8"/>
      <c r="Y236" s="8"/>
      <c r="Z236" s="8"/>
      <c r="AA236" s="8"/>
      <c r="AB236" s="8"/>
      <c r="AC236" s="8">
        <f t="shared" si="26"/>
        <v>0</v>
      </c>
      <c r="AD236" s="8"/>
      <c r="AE236" s="8"/>
      <c r="AF236" s="8"/>
      <c r="AG236" s="8"/>
      <c r="AH236" s="8"/>
      <c r="AI236" s="8"/>
      <c r="AJ236" s="8"/>
      <c r="AK236" s="8"/>
      <c r="AL236" s="8"/>
      <c r="AM236" s="8">
        <v>45530487</v>
      </c>
      <c r="AN236" s="8">
        <f>SUBTOTAL(9,AC236:AM236)</f>
        <v>45530487</v>
      </c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>
        <v>55442265</v>
      </c>
      <c r="AZ236" s="8"/>
      <c r="BA236" s="8">
        <f>VLOOKUP(B236,[1]Hoja3!J$3:K$674,2,0)</f>
        <v>74676387</v>
      </c>
      <c r="BB236" s="8"/>
      <c r="BC236" s="8">
        <f t="shared" si="27"/>
        <v>175649139</v>
      </c>
      <c r="BD236" s="4">
        <v>55442265</v>
      </c>
      <c r="BE236" s="4">
        <f t="shared" si="28"/>
        <v>120206874</v>
      </c>
      <c r="BF236" s="30">
        <f t="shared" si="29"/>
        <v>175649139</v>
      </c>
      <c r="BG236" s="18">
        <f t="shared" si="30"/>
        <v>0</v>
      </c>
      <c r="BH236" s="23"/>
      <c r="BI236" s="23"/>
      <c r="BJ236" s="14"/>
      <c r="BK236" s="14"/>
      <c r="BL236" s="14"/>
      <c r="BM236" s="14"/>
      <c r="BN236" s="14"/>
    </row>
    <row r="237" spans="1:66" ht="15" customHeight="1" x14ac:dyDescent="0.2">
      <c r="A237" s="1">
        <v>8909837186</v>
      </c>
      <c r="B237" s="1">
        <v>890983718</v>
      </c>
      <c r="C237" s="15">
        <v>210605206</v>
      </c>
      <c r="D237" s="16" t="s">
        <v>79</v>
      </c>
      <c r="E237" s="41" t="s">
        <v>1110</v>
      </c>
      <c r="F237" s="28"/>
      <c r="G237" s="2"/>
      <c r="H237" s="3"/>
      <c r="I237" s="2"/>
      <c r="J237" s="29"/>
      <c r="K237" s="3"/>
      <c r="L237" s="2"/>
      <c r="M237" s="8"/>
      <c r="N237" s="3"/>
      <c r="O237" s="2"/>
      <c r="P237" s="3"/>
      <c r="Q237" s="2"/>
      <c r="R237" s="3"/>
      <c r="S237" s="3"/>
      <c r="T237" s="2"/>
      <c r="U237" s="8">
        <f t="shared" si="25"/>
        <v>0</v>
      </c>
      <c r="V237" s="8"/>
      <c r="W237" s="8"/>
      <c r="X237" s="8"/>
      <c r="Y237" s="8"/>
      <c r="Z237" s="8"/>
      <c r="AA237" s="8"/>
      <c r="AB237" s="8"/>
      <c r="AC237" s="8">
        <f t="shared" si="26"/>
        <v>0</v>
      </c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>
        <v>23052200</v>
      </c>
      <c r="AZ237" s="8"/>
      <c r="BA237" s="8">
        <f>VLOOKUP(B237,[1]Hoja3!J$3:K$674,2,0)</f>
        <v>43289221</v>
      </c>
      <c r="BB237" s="8"/>
      <c r="BC237" s="8">
        <f t="shared" si="27"/>
        <v>66341421</v>
      </c>
      <c r="BD237" s="4">
        <v>23052200</v>
      </c>
      <c r="BE237" s="4">
        <f t="shared" si="28"/>
        <v>43289221</v>
      </c>
      <c r="BF237" s="30">
        <f t="shared" si="29"/>
        <v>66341421</v>
      </c>
      <c r="BG237" s="18">
        <f t="shared" si="30"/>
        <v>0</v>
      </c>
      <c r="BH237" s="23"/>
      <c r="BI237" s="23"/>
      <c r="BJ237" s="23"/>
    </row>
    <row r="238" spans="1:66" ht="15" customHeight="1" x14ac:dyDescent="0.2">
      <c r="A238" s="1">
        <v>8001040601</v>
      </c>
      <c r="B238" s="1">
        <v>800104060</v>
      </c>
      <c r="C238" s="15">
        <v>210768207</v>
      </c>
      <c r="D238" s="16" t="s">
        <v>830</v>
      </c>
      <c r="E238" s="41" t="s">
        <v>1846</v>
      </c>
      <c r="F238" s="28"/>
      <c r="G238" s="2"/>
      <c r="H238" s="3"/>
      <c r="I238" s="2"/>
      <c r="J238" s="29"/>
      <c r="K238" s="3"/>
      <c r="L238" s="2"/>
      <c r="M238" s="8"/>
      <c r="N238" s="3"/>
      <c r="O238" s="2"/>
      <c r="P238" s="3"/>
      <c r="Q238" s="2"/>
      <c r="R238" s="3"/>
      <c r="S238" s="3"/>
      <c r="T238" s="2"/>
      <c r="U238" s="8">
        <f t="shared" si="25"/>
        <v>0</v>
      </c>
      <c r="V238" s="8"/>
      <c r="W238" s="8"/>
      <c r="X238" s="8"/>
      <c r="Y238" s="8"/>
      <c r="Z238" s="8"/>
      <c r="AA238" s="8"/>
      <c r="AB238" s="8"/>
      <c r="AC238" s="8">
        <f t="shared" si="26"/>
        <v>0</v>
      </c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>
        <v>31156565</v>
      </c>
      <c r="AZ238" s="8"/>
      <c r="BA238" s="8">
        <f>VLOOKUP(B238,[1]Hoja3!J$3:K$674,2,0)</f>
        <v>69554959</v>
      </c>
      <c r="BB238" s="8"/>
      <c r="BC238" s="8">
        <f t="shared" si="27"/>
        <v>100711524</v>
      </c>
      <c r="BD238" s="4">
        <v>31156565</v>
      </c>
      <c r="BE238" s="4">
        <f t="shared" si="28"/>
        <v>69554959</v>
      </c>
      <c r="BF238" s="30">
        <f t="shared" si="29"/>
        <v>100711524</v>
      </c>
      <c r="BG238" s="18">
        <f t="shared" si="30"/>
        <v>0</v>
      </c>
      <c r="BH238" s="23"/>
      <c r="BI238" s="23"/>
      <c r="BJ238" s="23"/>
    </row>
    <row r="239" spans="1:66" ht="15" customHeight="1" x14ac:dyDescent="0.2">
      <c r="A239" s="1">
        <v>8909822618</v>
      </c>
      <c r="B239" s="1">
        <v>890982261</v>
      </c>
      <c r="C239" s="15">
        <v>210905209</v>
      </c>
      <c r="D239" s="16" t="s">
        <v>80</v>
      </c>
      <c r="E239" s="41" t="s">
        <v>1111</v>
      </c>
      <c r="F239" s="28"/>
      <c r="G239" s="2"/>
      <c r="H239" s="3"/>
      <c r="I239" s="2"/>
      <c r="J239" s="29"/>
      <c r="K239" s="3"/>
      <c r="L239" s="2"/>
      <c r="M239" s="8"/>
      <c r="N239" s="3"/>
      <c r="O239" s="2"/>
      <c r="P239" s="3"/>
      <c r="Q239" s="2"/>
      <c r="R239" s="3"/>
      <c r="S239" s="3"/>
      <c r="T239" s="2"/>
      <c r="U239" s="8">
        <f t="shared" si="25"/>
        <v>0</v>
      </c>
      <c r="V239" s="8"/>
      <c r="W239" s="8"/>
      <c r="X239" s="8"/>
      <c r="Y239" s="8"/>
      <c r="Z239" s="8"/>
      <c r="AA239" s="8"/>
      <c r="AB239" s="8"/>
      <c r="AC239" s="8">
        <f t="shared" si="26"/>
        <v>0</v>
      </c>
      <c r="AD239" s="8"/>
      <c r="AE239" s="8"/>
      <c r="AF239" s="8"/>
      <c r="AG239" s="8"/>
      <c r="AH239" s="8"/>
      <c r="AI239" s="8"/>
      <c r="AJ239" s="8"/>
      <c r="AK239" s="8"/>
      <c r="AL239" s="8"/>
      <c r="AM239" s="8">
        <v>234807278</v>
      </c>
      <c r="AN239" s="8">
        <f>SUBTOTAL(9,AC239:AM239)</f>
        <v>234807278</v>
      </c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>
        <v>113442840</v>
      </c>
      <c r="AZ239" s="8"/>
      <c r="BA239" s="8"/>
      <c r="BB239" s="8"/>
      <c r="BC239" s="8">
        <f t="shared" si="27"/>
        <v>348250118</v>
      </c>
      <c r="BD239" s="4">
        <v>113442840</v>
      </c>
      <c r="BE239" s="4">
        <f t="shared" si="28"/>
        <v>234807278</v>
      </c>
      <c r="BF239" s="30">
        <f t="shared" si="29"/>
        <v>348250118</v>
      </c>
      <c r="BG239" s="18">
        <f t="shared" si="30"/>
        <v>0</v>
      </c>
      <c r="BH239" s="23"/>
      <c r="BI239" s="23"/>
      <c r="BJ239" s="23"/>
    </row>
    <row r="240" spans="1:66" ht="15" customHeight="1" x14ac:dyDescent="0.2">
      <c r="A240" s="1">
        <v>8190032255</v>
      </c>
      <c r="B240" s="1">
        <v>819003225</v>
      </c>
      <c r="C240" s="15">
        <v>210547205</v>
      </c>
      <c r="D240" s="16" t="s">
        <v>644</v>
      </c>
      <c r="E240" s="58" t="s">
        <v>2101</v>
      </c>
      <c r="F240" s="28"/>
      <c r="G240" s="17"/>
      <c r="H240" s="3"/>
      <c r="I240" s="2"/>
      <c r="J240" s="29"/>
      <c r="K240" s="3"/>
      <c r="L240" s="17"/>
      <c r="M240" s="34"/>
      <c r="N240" s="3"/>
      <c r="O240" s="17"/>
      <c r="P240" s="3"/>
      <c r="Q240" s="2"/>
      <c r="R240" s="3"/>
      <c r="S240" s="3"/>
      <c r="T240" s="17"/>
      <c r="U240" s="8">
        <f t="shared" si="25"/>
        <v>0</v>
      </c>
      <c r="V240" s="8"/>
      <c r="W240" s="8"/>
      <c r="X240" s="8"/>
      <c r="Y240" s="8"/>
      <c r="Z240" s="8"/>
      <c r="AA240" s="8"/>
      <c r="AB240" s="8"/>
      <c r="AC240" s="8">
        <f t="shared" si="26"/>
        <v>0</v>
      </c>
      <c r="AD240" s="8"/>
      <c r="AE240" s="8"/>
      <c r="AF240" s="8"/>
      <c r="AG240" s="8"/>
      <c r="AH240" s="8"/>
      <c r="AI240" s="8"/>
      <c r="AJ240" s="8"/>
      <c r="AK240" s="8"/>
      <c r="AL240" s="8"/>
      <c r="AM240" s="8">
        <v>122916880</v>
      </c>
      <c r="AN240" s="8">
        <f>SUBTOTAL(9,AC240:AM240)</f>
        <v>122916880</v>
      </c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>
        <v>138267615</v>
      </c>
      <c r="AZ240" s="8"/>
      <c r="BA240" s="8">
        <f>VLOOKUP(B240,[1]Hoja3!J$3:K$674,2,0)</f>
        <v>100306861</v>
      </c>
      <c r="BB240" s="8"/>
      <c r="BC240" s="8">
        <f t="shared" si="27"/>
        <v>361491356</v>
      </c>
      <c r="BD240" s="4">
        <v>138267615</v>
      </c>
      <c r="BE240" s="4">
        <f t="shared" si="28"/>
        <v>223223741</v>
      </c>
      <c r="BF240" s="30">
        <f t="shared" si="29"/>
        <v>361491356</v>
      </c>
      <c r="BG240" s="18">
        <f t="shared" si="30"/>
        <v>0</v>
      </c>
      <c r="BH240" s="23"/>
      <c r="BI240" s="23"/>
      <c r="BJ240" s="14"/>
      <c r="BK240" s="14"/>
      <c r="BL240" s="14"/>
      <c r="BM240" s="14"/>
      <c r="BN240" s="14"/>
    </row>
    <row r="241" spans="1:66" ht="15" customHeight="1" x14ac:dyDescent="0.2">
      <c r="A241" s="1">
        <v>8916800579</v>
      </c>
      <c r="B241" s="1">
        <v>891680057</v>
      </c>
      <c r="C241" s="15">
        <v>210527205</v>
      </c>
      <c r="D241" s="16" t="s">
        <v>577</v>
      </c>
      <c r="E241" s="41" t="s">
        <v>1597</v>
      </c>
      <c r="F241" s="28"/>
      <c r="G241" s="2"/>
      <c r="H241" s="3"/>
      <c r="I241" s="2"/>
      <c r="J241" s="29"/>
      <c r="K241" s="3"/>
      <c r="L241" s="2"/>
      <c r="M241" s="8"/>
      <c r="N241" s="3"/>
      <c r="O241" s="2"/>
      <c r="P241" s="3"/>
      <c r="Q241" s="2"/>
      <c r="R241" s="3"/>
      <c r="S241" s="3"/>
      <c r="T241" s="2"/>
      <c r="U241" s="8">
        <f t="shared" si="25"/>
        <v>0</v>
      </c>
      <c r="V241" s="8"/>
      <c r="W241" s="8"/>
      <c r="X241" s="8"/>
      <c r="Y241" s="8"/>
      <c r="Z241" s="8"/>
      <c r="AA241" s="8"/>
      <c r="AB241" s="8"/>
      <c r="AC241" s="8">
        <f t="shared" si="26"/>
        <v>0</v>
      </c>
      <c r="AD241" s="8"/>
      <c r="AE241" s="8"/>
      <c r="AF241" s="8"/>
      <c r="AG241" s="8"/>
      <c r="AH241" s="8"/>
      <c r="AI241" s="8"/>
      <c r="AJ241" s="8"/>
      <c r="AK241" s="8"/>
      <c r="AL241" s="8"/>
      <c r="AM241" s="8">
        <v>301663975</v>
      </c>
      <c r="AN241" s="8">
        <f>SUBTOTAL(9,AC241:AM241)</f>
        <v>301663975</v>
      </c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>
        <v>174836405</v>
      </c>
      <c r="AZ241" s="8"/>
      <c r="BA241" s="8"/>
      <c r="BB241" s="8"/>
      <c r="BC241" s="8">
        <f t="shared" si="27"/>
        <v>476500380</v>
      </c>
      <c r="BD241" s="4">
        <v>174836405</v>
      </c>
      <c r="BE241" s="4">
        <f t="shared" si="28"/>
        <v>301663975</v>
      </c>
      <c r="BF241" s="30">
        <f t="shared" si="29"/>
        <v>476500380</v>
      </c>
      <c r="BG241" s="18">
        <f t="shared" si="30"/>
        <v>0</v>
      </c>
      <c r="BH241" s="23"/>
      <c r="BI241" s="23"/>
      <c r="BJ241" s="23"/>
    </row>
    <row r="242" spans="1:66" ht="15" customHeight="1" x14ac:dyDescent="0.2">
      <c r="A242" s="1">
        <v>8902089473</v>
      </c>
      <c r="B242" s="1">
        <v>890208947</v>
      </c>
      <c r="C242" s="15">
        <v>210968209</v>
      </c>
      <c r="D242" s="16" t="s">
        <v>831</v>
      </c>
      <c r="E242" s="41" t="s">
        <v>1847</v>
      </c>
      <c r="F242" s="28"/>
      <c r="G242" s="2"/>
      <c r="H242" s="3"/>
      <c r="I242" s="2"/>
      <c r="J242" s="29"/>
      <c r="K242" s="3"/>
      <c r="L242" s="2"/>
      <c r="M242" s="8"/>
      <c r="N242" s="3"/>
      <c r="O242" s="2"/>
      <c r="P242" s="3"/>
      <c r="Q242" s="2"/>
      <c r="R242" s="3"/>
      <c r="S242" s="3"/>
      <c r="T242" s="2"/>
      <c r="U242" s="8">
        <f t="shared" si="25"/>
        <v>0</v>
      </c>
      <c r="V242" s="8"/>
      <c r="W242" s="8"/>
      <c r="X242" s="8"/>
      <c r="Y242" s="8"/>
      <c r="Z242" s="8"/>
      <c r="AA242" s="8"/>
      <c r="AB242" s="8"/>
      <c r="AC242" s="8">
        <f t="shared" si="26"/>
        <v>0</v>
      </c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>
        <v>14206310</v>
      </c>
      <c r="AZ242" s="8"/>
      <c r="BA242" s="8">
        <f>VLOOKUP(B242,[1]Hoja3!J$3:K$674,2,0)</f>
        <v>35539889</v>
      </c>
      <c r="BB242" s="8"/>
      <c r="BC242" s="8">
        <f t="shared" si="27"/>
        <v>49746199</v>
      </c>
      <c r="BD242" s="4">
        <v>14206310</v>
      </c>
      <c r="BE242" s="4">
        <f t="shared" si="28"/>
        <v>35539889</v>
      </c>
      <c r="BF242" s="30">
        <f t="shared" si="29"/>
        <v>49746199</v>
      </c>
      <c r="BG242" s="18">
        <f t="shared" si="30"/>
        <v>0</v>
      </c>
      <c r="BH242" s="23"/>
      <c r="BI242" s="23"/>
      <c r="BJ242" s="23"/>
    </row>
    <row r="243" spans="1:66" ht="15" customHeight="1" x14ac:dyDescent="0.2">
      <c r="A243" s="1">
        <v>8000190006</v>
      </c>
      <c r="B243" s="1">
        <v>800019000</v>
      </c>
      <c r="C243" s="15">
        <v>210752207</v>
      </c>
      <c r="D243" s="16" t="s">
        <v>699</v>
      </c>
      <c r="E243" s="41" t="s">
        <v>2090</v>
      </c>
      <c r="F243" s="28"/>
      <c r="G243" s="2"/>
      <c r="H243" s="3"/>
      <c r="I243" s="2"/>
      <c r="J243" s="29"/>
      <c r="K243" s="3"/>
      <c r="L243" s="2"/>
      <c r="M243" s="8"/>
      <c r="N243" s="3"/>
      <c r="O243" s="2"/>
      <c r="P243" s="3"/>
      <c r="Q243" s="2"/>
      <c r="R243" s="3"/>
      <c r="S243" s="3"/>
      <c r="T243" s="2"/>
      <c r="U243" s="8">
        <f t="shared" si="25"/>
        <v>0</v>
      </c>
      <c r="V243" s="8"/>
      <c r="W243" s="8"/>
      <c r="X243" s="8"/>
      <c r="Y243" s="8"/>
      <c r="Z243" s="8"/>
      <c r="AA243" s="8"/>
      <c r="AB243" s="8"/>
      <c r="AC243" s="8">
        <f t="shared" si="26"/>
        <v>0</v>
      </c>
      <c r="AD243" s="8"/>
      <c r="AE243" s="8"/>
      <c r="AF243" s="8"/>
      <c r="AG243" s="8"/>
      <c r="AH243" s="8"/>
      <c r="AI243" s="8"/>
      <c r="AJ243" s="8"/>
      <c r="AK243" s="8"/>
      <c r="AL243" s="8"/>
      <c r="AM243" s="8">
        <v>44073262</v>
      </c>
      <c r="AN243" s="8">
        <f>SUBTOTAL(9,AC243:AM243)</f>
        <v>44073262</v>
      </c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>
        <f>VLOOKUP(B243,[1]Hoja3!J$3:K$674,2,0)</f>
        <v>94611224</v>
      </c>
      <c r="BB243" s="8"/>
      <c r="BC243" s="8">
        <f t="shared" si="27"/>
        <v>138684486</v>
      </c>
      <c r="BD243" s="4"/>
      <c r="BE243" s="4">
        <f t="shared" si="28"/>
        <v>138684486</v>
      </c>
      <c r="BF243" s="30">
        <f t="shared" si="29"/>
        <v>138684486</v>
      </c>
      <c r="BG243" s="18">
        <f t="shared" si="30"/>
        <v>0</v>
      </c>
      <c r="BH243" s="23"/>
      <c r="BI243" s="23"/>
      <c r="BJ243" s="23"/>
    </row>
    <row r="244" spans="1:66" ht="15" customHeight="1" x14ac:dyDescent="0.2">
      <c r="A244" s="1">
        <v>8000990649</v>
      </c>
      <c r="B244" s="1">
        <v>800099064</v>
      </c>
      <c r="C244" s="15">
        <v>211052210</v>
      </c>
      <c r="D244" s="16" t="s">
        <v>700</v>
      </c>
      <c r="E244" s="41" t="s">
        <v>1723</v>
      </c>
      <c r="F244" s="28"/>
      <c r="G244" s="2"/>
      <c r="H244" s="3"/>
      <c r="I244" s="2"/>
      <c r="J244" s="29"/>
      <c r="K244" s="3"/>
      <c r="L244" s="2"/>
      <c r="M244" s="8"/>
      <c r="N244" s="3"/>
      <c r="O244" s="2"/>
      <c r="P244" s="3"/>
      <c r="Q244" s="2"/>
      <c r="R244" s="3"/>
      <c r="S244" s="3"/>
      <c r="T244" s="2"/>
      <c r="U244" s="8">
        <f t="shared" si="25"/>
        <v>0</v>
      </c>
      <c r="V244" s="8"/>
      <c r="W244" s="8"/>
      <c r="X244" s="8"/>
      <c r="Y244" s="8"/>
      <c r="Z244" s="8"/>
      <c r="AA244" s="8"/>
      <c r="AB244" s="8"/>
      <c r="AC244" s="8">
        <f t="shared" si="26"/>
        <v>0</v>
      </c>
      <c r="AD244" s="8"/>
      <c r="AE244" s="8"/>
      <c r="AF244" s="8"/>
      <c r="AG244" s="8"/>
      <c r="AH244" s="8"/>
      <c r="AI244" s="8"/>
      <c r="AJ244" s="8"/>
      <c r="AK244" s="8"/>
      <c r="AL244" s="8"/>
      <c r="AM244" s="8">
        <v>62763495</v>
      </c>
      <c r="AN244" s="8">
        <f>SUBTOTAL(9,AC244:AM244)</f>
        <v>62763495</v>
      </c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>
        <v>41881990</v>
      </c>
      <c r="AZ244" s="8"/>
      <c r="BA244" s="8"/>
      <c r="BB244" s="8"/>
      <c r="BC244" s="8">
        <f t="shared" si="27"/>
        <v>104645485</v>
      </c>
      <c r="BD244" s="4">
        <v>41881990</v>
      </c>
      <c r="BE244" s="4">
        <f t="shared" si="28"/>
        <v>62763495</v>
      </c>
      <c r="BF244" s="30">
        <f t="shared" si="29"/>
        <v>104645485</v>
      </c>
      <c r="BG244" s="18">
        <f t="shared" si="30"/>
        <v>0</v>
      </c>
      <c r="BH244" s="23"/>
      <c r="BI244" s="23"/>
      <c r="BJ244" s="23"/>
    </row>
    <row r="245" spans="1:66" ht="15" hidden="1" customHeight="1" x14ac:dyDescent="0.2">
      <c r="A245" s="1">
        <v>8902060581</v>
      </c>
      <c r="B245" s="1">
        <v>890206058</v>
      </c>
      <c r="C245" s="15">
        <v>211168211</v>
      </c>
      <c r="D245" s="16" t="s">
        <v>832</v>
      </c>
      <c r="E245" s="41" t="s">
        <v>1848</v>
      </c>
      <c r="F245" s="28"/>
      <c r="G245" s="17"/>
      <c r="H245" s="3"/>
      <c r="I245" s="2"/>
      <c r="J245" s="29"/>
      <c r="K245" s="3"/>
      <c r="L245" s="17"/>
      <c r="M245" s="34"/>
      <c r="N245" s="3"/>
      <c r="O245" s="17"/>
      <c r="P245" s="3"/>
      <c r="Q245" s="2"/>
      <c r="R245" s="3"/>
      <c r="S245" s="3"/>
      <c r="T245" s="17"/>
      <c r="U245" s="8">
        <f t="shared" si="25"/>
        <v>0</v>
      </c>
      <c r="V245" s="8"/>
      <c r="W245" s="8"/>
      <c r="X245" s="8"/>
      <c r="Y245" s="8"/>
      <c r="Z245" s="8"/>
      <c r="AA245" s="8"/>
      <c r="AB245" s="8"/>
      <c r="AC245" s="8">
        <f t="shared" si="26"/>
        <v>0</v>
      </c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>
        <f t="shared" si="27"/>
        <v>0</v>
      </c>
      <c r="BD245" s="4"/>
      <c r="BE245" s="4">
        <f t="shared" si="28"/>
        <v>0</v>
      </c>
      <c r="BF245" s="30">
        <f t="shared" si="29"/>
        <v>0</v>
      </c>
      <c r="BG245" s="18">
        <f t="shared" si="30"/>
        <v>0</v>
      </c>
      <c r="BH245" s="23"/>
      <c r="BI245" s="23"/>
      <c r="BJ245" s="14"/>
      <c r="BK245" s="14"/>
      <c r="BL245" s="14"/>
      <c r="BM245" s="14"/>
      <c r="BN245" s="14"/>
    </row>
    <row r="246" spans="1:66" ht="15" customHeight="1" x14ac:dyDescent="0.2">
      <c r="A246" s="1">
        <v>8000992369</v>
      </c>
      <c r="B246" s="1">
        <v>800099236</v>
      </c>
      <c r="C246" s="15">
        <v>210654206</v>
      </c>
      <c r="D246" s="16" t="s">
        <v>759</v>
      </c>
      <c r="E246" s="41" t="s">
        <v>1778</v>
      </c>
      <c r="F246" s="28"/>
      <c r="G246" s="2"/>
      <c r="H246" s="3"/>
      <c r="I246" s="2"/>
      <c r="J246" s="29"/>
      <c r="K246" s="3"/>
      <c r="L246" s="2"/>
      <c r="M246" s="8"/>
      <c r="N246" s="3"/>
      <c r="O246" s="2"/>
      <c r="P246" s="3"/>
      <c r="Q246" s="2"/>
      <c r="R246" s="3"/>
      <c r="S246" s="3"/>
      <c r="T246" s="2"/>
      <c r="U246" s="8">
        <f t="shared" si="25"/>
        <v>0</v>
      </c>
      <c r="V246" s="8"/>
      <c r="W246" s="8"/>
      <c r="X246" s="8"/>
      <c r="Y246" s="8"/>
      <c r="Z246" s="8"/>
      <c r="AA246" s="8"/>
      <c r="AB246" s="8"/>
      <c r="AC246" s="8">
        <f t="shared" si="26"/>
        <v>0</v>
      </c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>
        <v>182840865</v>
      </c>
      <c r="AZ246" s="8"/>
      <c r="BA246" s="8">
        <f>VLOOKUP(B246,[1]Hoja3!J$3:K$674,2,0)</f>
        <v>271332955</v>
      </c>
      <c r="BB246" s="8"/>
      <c r="BC246" s="8">
        <f t="shared" si="27"/>
        <v>454173820</v>
      </c>
      <c r="BD246" s="4">
        <v>182840865</v>
      </c>
      <c r="BE246" s="4">
        <f t="shared" si="28"/>
        <v>271332955</v>
      </c>
      <c r="BF246" s="30">
        <f t="shared" si="29"/>
        <v>454173820</v>
      </c>
      <c r="BG246" s="18">
        <f t="shared" si="30"/>
        <v>0</v>
      </c>
      <c r="BH246" s="23"/>
      <c r="BI246" s="23"/>
      <c r="BJ246" s="23"/>
    </row>
    <row r="247" spans="1:66" ht="15" customHeight="1" x14ac:dyDescent="0.2">
      <c r="A247" s="1">
        <v>8909807673</v>
      </c>
      <c r="B247" s="1">
        <v>890980767</v>
      </c>
      <c r="C247" s="15">
        <v>211205212</v>
      </c>
      <c r="D247" s="16" t="s">
        <v>81</v>
      </c>
      <c r="E247" s="41" t="s">
        <v>1112</v>
      </c>
      <c r="F247" s="28"/>
      <c r="G247" s="2"/>
      <c r="H247" s="3"/>
      <c r="I247" s="2"/>
      <c r="J247" s="29"/>
      <c r="K247" s="3"/>
      <c r="L247" s="2"/>
      <c r="M247" s="8"/>
      <c r="N247" s="3"/>
      <c r="O247" s="2"/>
      <c r="P247" s="3"/>
      <c r="Q247" s="2"/>
      <c r="R247" s="3"/>
      <c r="S247" s="3"/>
      <c r="T247" s="2"/>
      <c r="U247" s="8">
        <f t="shared" si="25"/>
        <v>0</v>
      </c>
      <c r="V247" s="8"/>
      <c r="W247" s="8"/>
      <c r="X247" s="8"/>
      <c r="Y247" s="8"/>
      <c r="Z247" s="8"/>
      <c r="AA247" s="8"/>
      <c r="AB247" s="8"/>
      <c r="AC247" s="8">
        <f t="shared" si="26"/>
        <v>0</v>
      </c>
      <c r="AD247" s="8"/>
      <c r="AE247" s="8"/>
      <c r="AF247" s="8"/>
      <c r="AG247" s="8"/>
      <c r="AH247" s="8"/>
      <c r="AI247" s="8"/>
      <c r="AJ247" s="8"/>
      <c r="AK247" s="8"/>
      <c r="AL247" s="8"/>
      <c r="AM247" s="8">
        <v>393179934</v>
      </c>
      <c r="AN247" s="8">
        <f>SUBTOTAL(9,AC247:AM247)</f>
        <v>393179934</v>
      </c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>
        <f>VLOOKUP(B247,[1]Hoja3!J$3:K$674,2,0)</f>
        <v>345267665</v>
      </c>
      <c r="BB247" s="8"/>
      <c r="BC247" s="8">
        <f t="shared" si="27"/>
        <v>738447599</v>
      </c>
      <c r="BD247" s="4"/>
      <c r="BE247" s="4">
        <f t="shared" si="28"/>
        <v>738447599</v>
      </c>
      <c r="BF247" s="30">
        <f t="shared" si="29"/>
        <v>738447599</v>
      </c>
      <c r="BG247" s="18">
        <f t="shared" si="30"/>
        <v>0</v>
      </c>
      <c r="BH247" s="23"/>
      <c r="BI247" s="23"/>
      <c r="BJ247" s="23"/>
    </row>
    <row r="248" spans="1:66" ht="15" customHeight="1" x14ac:dyDescent="0.2">
      <c r="A248" s="1">
        <v>8918013639</v>
      </c>
      <c r="B248" s="1">
        <v>891801363</v>
      </c>
      <c r="C248" s="15">
        <v>211215212</v>
      </c>
      <c r="D248" s="16" t="s">
        <v>239</v>
      </c>
      <c r="E248" s="41" t="s">
        <v>1274</v>
      </c>
      <c r="F248" s="28"/>
      <c r="G248" s="17"/>
      <c r="H248" s="3"/>
      <c r="I248" s="2"/>
      <c r="J248" s="29"/>
      <c r="K248" s="3"/>
      <c r="L248" s="17"/>
      <c r="M248" s="34"/>
      <c r="N248" s="3"/>
      <c r="O248" s="17"/>
      <c r="P248" s="3"/>
      <c r="Q248" s="2"/>
      <c r="R248" s="3"/>
      <c r="S248" s="3"/>
      <c r="T248" s="17"/>
      <c r="U248" s="8">
        <f t="shared" si="25"/>
        <v>0</v>
      </c>
      <c r="V248" s="8"/>
      <c r="W248" s="8"/>
      <c r="X248" s="8"/>
      <c r="Y248" s="8"/>
      <c r="Z248" s="8"/>
      <c r="AA248" s="8"/>
      <c r="AB248" s="8"/>
      <c r="AC248" s="8">
        <f t="shared" si="26"/>
        <v>0</v>
      </c>
      <c r="AD248" s="8"/>
      <c r="AE248" s="8"/>
      <c r="AF248" s="8"/>
      <c r="AG248" s="8"/>
      <c r="AH248" s="8"/>
      <c r="AI248" s="8"/>
      <c r="AJ248" s="8"/>
      <c r="AK248" s="8"/>
      <c r="AL248" s="8"/>
      <c r="AM248" s="8">
        <v>51372672</v>
      </c>
      <c r="AN248" s="8">
        <f>SUBTOTAL(9,AC248:AM248)</f>
        <v>51372672</v>
      </c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>
        <v>28409895</v>
      </c>
      <c r="AZ248" s="8"/>
      <c r="BA248" s="8"/>
      <c r="BB248" s="8"/>
      <c r="BC248" s="8">
        <f t="shared" si="27"/>
        <v>79782567</v>
      </c>
      <c r="BD248" s="4">
        <v>28409895</v>
      </c>
      <c r="BE248" s="4">
        <f t="shared" si="28"/>
        <v>51372672</v>
      </c>
      <c r="BF248" s="30">
        <f t="shared" si="29"/>
        <v>79782567</v>
      </c>
      <c r="BG248" s="18">
        <f t="shared" si="30"/>
        <v>0</v>
      </c>
      <c r="BH248" s="23"/>
      <c r="BI248" s="23"/>
      <c r="BJ248" s="14"/>
      <c r="BK248" s="14"/>
      <c r="BL248" s="14"/>
      <c r="BM248" s="14"/>
      <c r="BN248" s="14"/>
    </row>
    <row r="249" spans="1:66" ht="15" customHeight="1" x14ac:dyDescent="0.2">
      <c r="A249" s="1">
        <v>8000386131</v>
      </c>
      <c r="B249" s="1">
        <v>800038613</v>
      </c>
      <c r="C249" s="15">
        <v>211213212</v>
      </c>
      <c r="D249" s="16" t="s">
        <v>189</v>
      </c>
      <c r="E249" s="41" t="s">
        <v>1219</v>
      </c>
      <c r="F249" s="28"/>
      <c r="G249" s="17"/>
      <c r="H249" s="3"/>
      <c r="I249" s="2"/>
      <c r="J249" s="29"/>
      <c r="K249" s="3"/>
      <c r="L249" s="17"/>
      <c r="M249" s="34"/>
      <c r="N249" s="3"/>
      <c r="O249" s="17"/>
      <c r="P249" s="3"/>
      <c r="Q249" s="2"/>
      <c r="R249" s="3"/>
      <c r="S249" s="3"/>
      <c r="T249" s="17"/>
      <c r="U249" s="8">
        <f t="shared" si="25"/>
        <v>0</v>
      </c>
      <c r="V249" s="8"/>
      <c r="W249" s="8"/>
      <c r="X249" s="8"/>
      <c r="Y249" s="8"/>
      <c r="Z249" s="8"/>
      <c r="AA249" s="8"/>
      <c r="AB249" s="8"/>
      <c r="AC249" s="8">
        <f t="shared" si="26"/>
        <v>0</v>
      </c>
      <c r="AD249" s="8"/>
      <c r="AE249" s="8"/>
      <c r="AF249" s="8"/>
      <c r="AG249" s="8"/>
      <c r="AH249" s="8"/>
      <c r="AI249" s="8"/>
      <c r="AJ249" s="8"/>
      <c r="AK249" s="8"/>
      <c r="AL249" s="8"/>
      <c r="AM249" s="8">
        <v>327157920</v>
      </c>
      <c r="AN249" s="8">
        <f>SUBTOTAL(9,AC249:AM249)</f>
        <v>327157920</v>
      </c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>
        <f t="shared" si="27"/>
        <v>327157920</v>
      </c>
      <c r="BD249" s="4"/>
      <c r="BE249" s="4">
        <f t="shared" si="28"/>
        <v>327157920</v>
      </c>
      <c r="BF249" s="30">
        <f t="shared" si="29"/>
        <v>327157920</v>
      </c>
      <c r="BG249" s="18">
        <f t="shared" si="30"/>
        <v>0</v>
      </c>
      <c r="BH249" s="23"/>
      <c r="BI249" s="23"/>
      <c r="BJ249" s="14"/>
      <c r="BK249" s="14"/>
      <c r="BL249" s="14"/>
      <c r="BM249" s="14"/>
      <c r="BN249" s="14"/>
    </row>
    <row r="250" spans="1:66" ht="15" customHeight="1" x14ac:dyDescent="0.2">
      <c r="A250" s="1">
        <v>8000350241</v>
      </c>
      <c r="B250" s="1">
        <v>800035024</v>
      </c>
      <c r="C250" s="15">
        <v>211552215</v>
      </c>
      <c r="D250" s="16" t="s">
        <v>701</v>
      </c>
      <c r="E250" s="41" t="s">
        <v>1724</v>
      </c>
      <c r="F250" s="28"/>
      <c r="G250" s="2"/>
      <c r="H250" s="3"/>
      <c r="I250" s="2"/>
      <c r="J250" s="29"/>
      <c r="K250" s="3"/>
      <c r="L250" s="2"/>
      <c r="M250" s="8"/>
      <c r="N250" s="3"/>
      <c r="O250" s="2"/>
      <c r="P250" s="3"/>
      <c r="Q250" s="2"/>
      <c r="R250" s="3"/>
      <c r="S250" s="3"/>
      <c r="T250" s="2"/>
      <c r="U250" s="8">
        <f t="shared" si="25"/>
        <v>0</v>
      </c>
      <c r="V250" s="8"/>
      <c r="W250" s="8"/>
      <c r="X250" s="8"/>
      <c r="Y250" s="8"/>
      <c r="Z250" s="8"/>
      <c r="AA250" s="8"/>
      <c r="AB250" s="8"/>
      <c r="AC250" s="8">
        <f t="shared" si="26"/>
        <v>0</v>
      </c>
      <c r="AD250" s="8"/>
      <c r="AE250" s="8"/>
      <c r="AF250" s="8"/>
      <c r="AG250" s="8"/>
      <c r="AH250" s="8"/>
      <c r="AI250" s="8"/>
      <c r="AJ250" s="8"/>
      <c r="AK250" s="8"/>
      <c r="AL250" s="8"/>
      <c r="AM250" s="8">
        <v>228505542</v>
      </c>
      <c r="AN250" s="8">
        <f>SUBTOTAL(9,AC250:AM250)</f>
        <v>228505542</v>
      </c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>
        <f t="shared" si="27"/>
        <v>228505542</v>
      </c>
      <c r="BD250" s="4"/>
      <c r="BE250" s="4">
        <f t="shared" si="28"/>
        <v>228505542</v>
      </c>
      <c r="BF250" s="30">
        <f t="shared" si="29"/>
        <v>228505542</v>
      </c>
      <c r="BG250" s="18">
        <f t="shared" si="30"/>
        <v>0</v>
      </c>
      <c r="BH250" s="23"/>
      <c r="BI250" s="23"/>
      <c r="BJ250" s="23"/>
    </row>
    <row r="251" spans="1:66" ht="15" customHeight="1" x14ac:dyDescent="0.2">
      <c r="A251" s="1">
        <v>8900010613</v>
      </c>
      <c r="B251" s="1">
        <v>890001061</v>
      </c>
      <c r="C251" s="15">
        <v>211263212</v>
      </c>
      <c r="D251" s="16" t="s">
        <v>792</v>
      </c>
      <c r="E251" s="41" t="s">
        <v>1810</v>
      </c>
      <c r="F251" s="28"/>
      <c r="G251" s="2"/>
      <c r="H251" s="3"/>
      <c r="I251" s="2"/>
      <c r="J251" s="29"/>
      <c r="K251" s="3"/>
      <c r="L251" s="2"/>
      <c r="M251" s="8"/>
      <c r="N251" s="3"/>
      <c r="O251" s="2"/>
      <c r="P251" s="3"/>
      <c r="Q251" s="2"/>
      <c r="R251" s="3"/>
      <c r="S251" s="3"/>
      <c r="T251" s="2"/>
      <c r="U251" s="8">
        <f t="shared" si="25"/>
        <v>0</v>
      </c>
      <c r="V251" s="8"/>
      <c r="W251" s="8"/>
      <c r="X251" s="8"/>
      <c r="Y251" s="8"/>
      <c r="Z251" s="8"/>
      <c r="AA251" s="8"/>
      <c r="AB251" s="8"/>
      <c r="AC251" s="8">
        <f t="shared" si="26"/>
        <v>0</v>
      </c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>
        <v>39296840</v>
      </c>
      <c r="AZ251" s="8"/>
      <c r="BA251" s="8">
        <f>VLOOKUP(B251,[1]Hoja3!J$3:K$674,2,0)</f>
        <v>73717037</v>
      </c>
      <c r="BB251" s="8"/>
      <c r="BC251" s="8">
        <f t="shared" si="27"/>
        <v>113013877</v>
      </c>
      <c r="BD251" s="4">
        <v>39296840</v>
      </c>
      <c r="BE251" s="4">
        <f t="shared" si="28"/>
        <v>73717037</v>
      </c>
      <c r="BF251" s="30">
        <f t="shared" si="29"/>
        <v>113013877</v>
      </c>
      <c r="BG251" s="18">
        <f t="shared" si="30"/>
        <v>0</v>
      </c>
      <c r="BH251" s="23"/>
      <c r="BI251" s="23"/>
      <c r="BJ251" s="23"/>
    </row>
    <row r="252" spans="1:66" ht="15" customHeight="1" x14ac:dyDescent="0.2">
      <c r="A252" s="1">
        <v>8915012830</v>
      </c>
      <c r="B252" s="1">
        <v>891501283</v>
      </c>
      <c r="C252" s="15">
        <v>211219212</v>
      </c>
      <c r="D252" s="16" t="s">
        <v>381</v>
      </c>
      <c r="E252" s="41" t="s">
        <v>1413</v>
      </c>
      <c r="F252" s="28"/>
      <c r="G252" s="2"/>
      <c r="H252" s="3"/>
      <c r="I252" s="2"/>
      <c r="J252" s="29"/>
      <c r="K252" s="3"/>
      <c r="L252" s="2"/>
      <c r="M252" s="8"/>
      <c r="N252" s="3"/>
      <c r="O252" s="2"/>
      <c r="P252" s="3"/>
      <c r="Q252" s="2"/>
      <c r="R252" s="3"/>
      <c r="S252" s="3"/>
      <c r="T252" s="2"/>
      <c r="U252" s="8">
        <f t="shared" si="25"/>
        <v>0</v>
      </c>
      <c r="V252" s="8"/>
      <c r="W252" s="8"/>
      <c r="X252" s="8"/>
      <c r="Y252" s="8"/>
      <c r="Z252" s="8"/>
      <c r="AA252" s="8"/>
      <c r="AB252" s="8"/>
      <c r="AC252" s="8">
        <f t="shared" si="26"/>
        <v>0</v>
      </c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>
        <v>232861575</v>
      </c>
      <c r="AZ252" s="8"/>
      <c r="BA252" s="8">
        <f>VLOOKUP(B252,[1]Hoja3!J$3:K$674,2,0)</f>
        <v>288702327</v>
      </c>
      <c r="BB252" s="8"/>
      <c r="BC252" s="8">
        <f t="shared" si="27"/>
        <v>521563902</v>
      </c>
      <c r="BD252" s="4">
        <v>232861575</v>
      </c>
      <c r="BE252" s="4">
        <f t="shared" si="28"/>
        <v>288702327</v>
      </c>
      <c r="BF252" s="30">
        <f t="shared" si="29"/>
        <v>521563902</v>
      </c>
      <c r="BG252" s="18">
        <f t="shared" si="30"/>
        <v>0</v>
      </c>
      <c r="BH252" s="23"/>
      <c r="BI252" s="23"/>
      <c r="BJ252" s="23"/>
    </row>
    <row r="253" spans="1:66" ht="15" customHeight="1" x14ac:dyDescent="0.2">
      <c r="A253" s="1">
        <v>8902050587</v>
      </c>
      <c r="B253" s="1">
        <v>890205058</v>
      </c>
      <c r="C253" s="15">
        <v>211768217</v>
      </c>
      <c r="D253" s="16" t="s">
        <v>833</v>
      </c>
      <c r="E253" s="41" t="s">
        <v>1849</v>
      </c>
      <c r="F253" s="28"/>
      <c r="G253" s="2"/>
      <c r="H253" s="3"/>
      <c r="I253" s="2"/>
      <c r="J253" s="29"/>
      <c r="K253" s="3"/>
      <c r="L253" s="2"/>
      <c r="M253" s="8"/>
      <c r="N253" s="3"/>
      <c r="O253" s="2"/>
      <c r="P253" s="3"/>
      <c r="Q253" s="2"/>
      <c r="R253" s="3"/>
      <c r="S253" s="3"/>
      <c r="T253" s="2"/>
      <c r="U253" s="8">
        <f t="shared" si="25"/>
        <v>0</v>
      </c>
      <c r="V253" s="8"/>
      <c r="W253" s="8"/>
      <c r="X253" s="8"/>
      <c r="Y253" s="8"/>
      <c r="Z253" s="8"/>
      <c r="AA253" s="8"/>
      <c r="AB253" s="8"/>
      <c r="AC253" s="8">
        <f t="shared" si="26"/>
        <v>0</v>
      </c>
      <c r="AD253" s="8"/>
      <c r="AE253" s="8"/>
      <c r="AF253" s="8"/>
      <c r="AG253" s="8"/>
      <c r="AH253" s="8"/>
      <c r="AI253" s="8"/>
      <c r="AJ253" s="8"/>
      <c r="AK253" s="8"/>
      <c r="AL253" s="8"/>
      <c r="AM253" s="8">
        <v>46798068</v>
      </c>
      <c r="AN253" s="8">
        <f>SUBTOTAL(9,AC253:AM253)</f>
        <v>46798068</v>
      </c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>
        <v>37283645</v>
      </c>
      <c r="AZ253" s="8"/>
      <c r="BA253" s="8">
        <f>VLOOKUP(B253,[1]Hoja3!J$3:K$674,2,0)</f>
        <v>38014824</v>
      </c>
      <c r="BB253" s="8"/>
      <c r="BC253" s="8">
        <f t="shared" si="27"/>
        <v>122096537</v>
      </c>
      <c r="BD253" s="4">
        <v>37283645</v>
      </c>
      <c r="BE253" s="4">
        <f t="shared" si="28"/>
        <v>84812892</v>
      </c>
      <c r="BF253" s="30">
        <f t="shared" si="29"/>
        <v>122096537</v>
      </c>
      <c r="BG253" s="18">
        <f t="shared" si="30"/>
        <v>0</v>
      </c>
      <c r="BH253" s="23"/>
      <c r="BI253" s="23"/>
      <c r="BJ253" s="23"/>
    </row>
    <row r="254" spans="1:66" ht="15" customHeight="1" x14ac:dyDescent="0.2">
      <c r="A254" s="1">
        <v>8922800322</v>
      </c>
      <c r="B254" s="1">
        <v>892280032</v>
      </c>
      <c r="C254" s="15">
        <v>211570215</v>
      </c>
      <c r="D254" s="16" t="s">
        <v>893</v>
      </c>
      <c r="E254" s="41" t="s">
        <v>1907</v>
      </c>
      <c r="F254" s="28"/>
      <c r="G254" s="2"/>
      <c r="H254" s="3"/>
      <c r="I254" s="2"/>
      <c r="J254" s="29"/>
      <c r="K254" s="3"/>
      <c r="L254" s="2"/>
      <c r="M254" s="8"/>
      <c r="N254" s="3"/>
      <c r="O254" s="2"/>
      <c r="P254" s="3"/>
      <c r="Q254" s="2"/>
      <c r="R254" s="3"/>
      <c r="S254" s="3"/>
      <c r="T254" s="2"/>
      <c r="U254" s="8">
        <f t="shared" si="25"/>
        <v>0</v>
      </c>
      <c r="V254" s="8"/>
      <c r="W254" s="8"/>
      <c r="X254" s="8"/>
      <c r="Y254" s="8"/>
      <c r="Z254" s="8"/>
      <c r="AA254" s="8"/>
      <c r="AB254" s="8"/>
      <c r="AC254" s="8">
        <f t="shared" si="26"/>
        <v>0</v>
      </c>
      <c r="AD254" s="8"/>
      <c r="AE254" s="8"/>
      <c r="AF254" s="8"/>
      <c r="AG254" s="8"/>
      <c r="AH254" s="8"/>
      <c r="AI254" s="8"/>
      <c r="AJ254" s="8"/>
      <c r="AK254" s="8"/>
      <c r="AL254" s="8"/>
      <c r="AM254" s="8">
        <v>644769541</v>
      </c>
      <c r="AN254" s="8">
        <f>SUBTOTAL(9,AC254:AM254)</f>
        <v>644769541</v>
      </c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>
        <v>527732675</v>
      </c>
      <c r="AZ254" s="8"/>
      <c r="BA254" s="8">
        <f>VLOOKUP(B254,[1]Hoja3!J$3:K$674,2,0)</f>
        <v>328607176</v>
      </c>
      <c r="BB254" s="8"/>
      <c r="BC254" s="8">
        <f t="shared" si="27"/>
        <v>1501109392</v>
      </c>
      <c r="BD254" s="4">
        <v>527732675</v>
      </c>
      <c r="BE254" s="4">
        <f t="shared" si="28"/>
        <v>973376717</v>
      </c>
      <c r="BF254" s="30">
        <f t="shared" si="29"/>
        <v>1501109392</v>
      </c>
      <c r="BG254" s="18">
        <f t="shared" si="30"/>
        <v>0</v>
      </c>
      <c r="BH254" s="23"/>
      <c r="BI254" s="23"/>
      <c r="BJ254" s="23"/>
    </row>
    <row r="255" spans="1:66" ht="15" customHeight="1" x14ac:dyDescent="0.2">
      <c r="A255" s="1">
        <v>8918557482</v>
      </c>
      <c r="B255" s="1">
        <v>891855748</v>
      </c>
      <c r="C255" s="15">
        <v>211515215</v>
      </c>
      <c r="D255" s="16" t="s">
        <v>240</v>
      </c>
      <c r="E255" s="41" t="s">
        <v>1275</v>
      </c>
      <c r="F255" s="28"/>
      <c r="G255" s="17"/>
      <c r="H255" s="3"/>
      <c r="I255" s="2"/>
      <c r="J255" s="29"/>
      <c r="K255" s="3"/>
      <c r="L255" s="17"/>
      <c r="M255" s="34"/>
      <c r="N255" s="3"/>
      <c r="O255" s="17"/>
      <c r="P255" s="3"/>
      <c r="Q255" s="2"/>
      <c r="R255" s="3"/>
      <c r="S255" s="3"/>
      <c r="T255" s="17"/>
      <c r="U255" s="8">
        <f t="shared" si="25"/>
        <v>0</v>
      </c>
      <c r="V255" s="8"/>
      <c r="W255" s="8"/>
      <c r="X255" s="8"/>
      <c r="Y255" s="8"/>
      <c r="Z255" s="8"/>
      <c r="AA255" s="8"/>
      <c r="AB255" s="8"/>
      <c r="AC255" s="8">
        <f t="shared" si="26"/>
        <v>0</v>
      </c>
      <c r="AD255" s="8"/>
      <c r="AE255" s="8"/>
      <c r="AF255" s="8"/>
      <c r="AG255" s="8"/>
      <c r="AH255" s="8"/>
      <c r="AI255" s="8"/>
      <c r="AJ255" s="8"/>
      <c r="AK255" s="8"/>
      <c r="AL255" s="8"/>
      <c r="AM255" s="8">
        <v>34042595</v>
      </c>
      <c r="AN255" s="8">
        <f>SUBTOTAL(9,AC255:AM255)</f>
        <v>34042595</v>
      </c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>
        <v>15463165</v>
      </c>
      <c r="AZ255" s="8"/>
      <c r="BA255" s="8"/>
      <c r="BB255" s="8"/>
      <c r="BC255" s="8">
        <f t="shared" si="27"/>
        <v>49505760</v>
      </c>
      <c r="BD255" s="4">
        <v>15463165</v>
      </c>
      <c r="BE255" s="4">
        <f t="shared" si="28"/>
        <v>34042595</v>
      </c>
      <c r="BF255" s="30">
        <f t="shared" si="29"/>
        <v>49505760</v>
      </c>
      <c r="BG255" s="18">
        <f t="shared" si="30"/>
        <v>0</v>
      </c>
      <c r="BH255" s="23"/>
      <c r="BI255" s="23"/>
      <c r="BJ255" s="14"/>
      <c r="BK255" s="14"/>
      <c r="BL255" s="14"/>
      <c r="BM255" s="14"/>
      <c r="BN255" s="14"/>
    </row>
    <row r="256" spans="1:66" ht="15" customHeight="1" x14ac:dyDescent="0.2">
      <c r="A256" s="1">
        <v>8999997053</v>
      </c>
      <c r="B256" s="1">
        <v>899999705</v>
      </c>
      <c r="C256" s="15">
        <v>211425214</v>
      </c>
      <c r="D256" s="16" t="s">
        <v>480</v>
      </c>
      <c r="E256" s="41" t="s">
        <v>1506</v>
      </c>
      <c r="F256" s="28"/>
      <c r="G256" s="2"/>
      <c r="H256" s="3"/>
      <c r="I256" s="2"/>
      <c r="J256" s="29"/>
      <c r="K256" s="3"/>
      <c r="L256" s="2"/>
      <c r="M256" s="8"/>
      <c r="N256" s="3"/>
      <c r="O256" s="2"/>
      <c r="P256" s="3"/>
      <c r="Q256" s="2"/>
      <c r="R256" s="3"/>
      <c r="S256" s="3"/>
      <c r="T256" s="2"/>
      <c r="U256" s="8">
        <f t="shared" si="25"/>
        <v>0</v>
      </c>
      <c r="V256" s="8"/>
      <c r="W256" s="8"/>
      <c r="X256" s="8"/>
      <c r="Y256" s="8"/>
      <c r="Z256" s="8"/>
      <c r="AA256" s="8"/>
      <c r="AB256" s="8"/>
      <c r="AC256" s="8">
        <f t="shared" si="26"/>
        <v>0</v>
      </c>
      <c r="AD256" s="8"/>
      <c r="AE256" s="8"/>
      <c r="AF256" s="8"/>
      <c r="AG256" s="8"/>
      <c r="AH256" s="8"/>
      <c r="AI256" s="8"/>
      <c r="AJ256" s="8"/>
      <c r="AK256" s="8"/>
      <c r="AL256" s="8"/>
      <c r="AM256" s="8">
        <v>274239706</v>
      </c>
      <c r="AN256" s="8">
        <f>SUBTOTAL(9,AC256:AM256)</f>
        <v>274239706</v>
      </c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>
        <f t="shared" si="27"/>
        <v>274239706</v>
      </c>
      <c r="BD256" s="4"/>
      <c r="BE256" s="4">
        <f t="shared" si="28"/>
        <v>274239706</v>
      </c>
      <c r="BF256" s="30">
        <f t="shared" si="29"/>
        <v>274239706</v>
      </c>
      <c r="BG256" s="18">
        <f t="shared" si="30"/>
        <v>0</v>
      </c>
      <c r="BH256" s="23"/>
      <c r="BI256" s="23"/>
      <c r="BJ256" s="23"/>
    </row>
    <row r="257" spans="1:66" ht="15" customHeight="1" x14ac:dyDescent="0.2">
      <c r="A257" s="1">
        <v>8120016751</v>
      </c>
      <c r="B257" s="1">
        <v>812001675</v>
      </c>
      <c r="C257" s="15">
        <v>210023300</v>
      </c>
      <c r="D257" s="16" t="s">
        <v>444</v>
      </c>
      <c r="E257" s="41" t="s">
        <v>1471</v>
      </c>
      <c r="F257" s="28"/>
      <c r="G257" s="2"/>
      <c r="H257" s="3"/>
      <c r="I257" s="2"/>
      <c r="J257" s="29"/>
      <c r="K257" s="3"/>
      <c r="L257" s="2"/>
      <c r="M257" s="8"/>
      <c r="N257" s="3"/>
      <c r="O257" s="2"/>
      <c r="P257" s="3"/>
      <c r="Q257" s="2"/>
      <c r="R257" s="3"/>
      <c r="S257" s="3"/>
      <c r="T257" s="2"/>
      <c r="U257" s="8">
        <f t="shared" si="25"/>
        <v>0</v>
      </c>
      <c r="V257" s="8"/>
      <c r="W257" s="8"/>
      <c r="X257" s="8"/>
      <c r="Y257" s="8"/>
      <c r="Z257" s="8"/>
      <c r="AA257" s="8"/>
      <c r="AB257" s="8"/>
      <c r="AC257" s="8">
        <f t="shared" si="26"/>
        <v>0</v>
      </c>
      <c r="AD257" s="8"/>
      <c r="AE257" s="8"/>
      <c r="AF257" s="8"/>
      <c r="AG257" s="8"/>
      <c r="AH257" s="8"/>
      <c r="AI257" s="8"/>
      <c r="AJ257" s="8"/>
      <c r="AK257" s="8"/>
      <c r="AL257" s="8"/>
      <c r="AM257" s="8">
        <v>184977527</v>
      </c>
      <c r="AN257" s="8">
        <f>SUBTOTAL(9,AC257:AM257)</f>
        <v>184977527</v>
      </c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>
        <f>VLOOKUP(B257,[1]Hoja3!J$3:K$674,2,0)</f>
        <v>87755393</v>
      </c>
      <c r="BB257" s="8"/>
      <c r="BC257" s="8">
        <f t="shared" si="27"/>
        <v>272732920</v>
      </c>
      <c r="BD257" s="4"/>
      <c r="BE257" s="4">
        <f t="shared" si="28"/>
        <v>272732920</v>
      </c>
      <c r="BF257" s="30">
        <f t="shared" si="29"/>
        <v>272732920</v>
      </c>
      <c r="BG257" s="18">
        <f t="shared" si="30"/>
        <v>0</v>
      </c>
      <c r="BH257" s="23"/>
      <c r="BI257" s="23"/>
      <c r="BJ257" s="23"/>
    </row>
    <row r="258" spans="1:66" ht="15" customHeight="1" x14ac:dyDescent="0.2">
      <c r="A258" s="1">
        <v>8918579202</v>
      </c>
      <c r="B258" s="1">
        <v>891857920</v>
      </c>
      <c r="C258" s="15">
        <v>211815218</v>
      </c>
      <c r="D258" s="16" t="s">
        <v>241</v>
      </c>
      <c r="E258" s="41" t="s">
        <v>1276</v>
      </c>
      <c r="F258" s="28"/>
      <c r="G258" s="17"/>
      <c r="H258" s="3"/>
      <c r="I258" s="2"/>
      <c r="J258" s="29"/>
      <c r="K258" s="3"/>
      <c r="L258" s="17"/>
      <c r="M258" s="34"/>
      <c r="N258" s="3"/>
      <c r="O258" s="17"/>
      <c r="P258" s="3"/>
      <c r="Q258" s="2"/>
      <c r="R258" s="3"/>
      <c r="S258" s="3"/>
      <c r="T258" s="17"/>
      <c r="U258" s="8">
        <f t="shared" si="25"/>
        <v>0</v>
      </c>
      <c r="V258" s="8"/>
      <c r="W258" s="8"/>
      <c r="X258" s="8"/>
      <c r="Y258" s="8"/>
      <c r="Z258" s="8"/>
      <c r="AA258" s="8"/>
      <c r="AB258" s="8"/>
      <c r="AC258" s="8">
        <f t="shared" si="26"/>
        <v>0</v>
      </c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>
        <f>VLOOKUP(B258,[1]Hoja3!J$3:K$674,2,0)</f>
        <v>38026929</v>
      </c>
      <c r="BB258" s="8"/>
      <c r="BC258" s="8">
        <f t="shared" si="27"/>
        <v>38026929</v>
      </c>
      <c r="BD258" s="4"/>
      <c r="BE258" s="4">
        <f t="shared" si="28"/>
        <v>38026929</v>
      </c>
      <c r="BF258" s="30">
        <f t="shared" si="29"/>
        <v>38026929</v>
      </c>
      <c r="BG258" s="18">
        <f t="shared" si="30"/>
        <v>0</v>
      </c>
      <c r="BH258" s="23"/>
      <c r="BI258" s="23"/>
      <c r="BJ258" s="14"/>
      <c r="BK258" s="14"/>
      <c r="BL258" s="14"/>
      <c r="BM258" s="14"/>
      <c r="BN258" s="14"/>
    </row>
    <row r="259" spans="1:66" ht="15" customHeight="1" x14ac:dyDescent="0.2">
      <c r="A259" s="1">
        <v>8230035437</v>
      </c>
      <c r="B259" s="1">
        <v>823003543</v>
      </c>
      <c r="C259" s="15">
        <v>89970221</v>
      </c>
      <c r="D259" s="16" t="s">
        <v>894</v>
      </c>
      <c r="E259" s="41" t="s">
        <v>1908</v>
      </c>
      <c r="F259" s="28"/>
      <c r="G259" s="2"/>
      <c r="H259" s="3"/>
      <c r="I259" s="2"/>
      <c r="J259" s="29"/>
      <c r="K259" s="3"/>
      <c r="L259" s="2"/>
      <c r="M259" s="8"/>
      <c r="N259" s="3"/>
      <c r="O259" s="2"/>
      <c r="P259" s="3"/>
      <c r="Q259" s="2"/>
      <c r="R259" s="3"/>
      <c r="S259" s="3"/>
      <c r="T259" s="2"/>
      <c r="U259" s="8">
        <f t="shared" ref="U259:U322" si="32">SUM(M259:T259)</f>
        <v>0</v>
      </c>
      <c r="V259" s="8"/>
      <c r="W259" s="8"/>
      <c r="X259" s="8"/>
      <c r="Y259" s="8"/>
      <c r="Z259" s="8"/>
      <c r="AA259" s="8"/>
      <c r="AB259" s="8"/>
      <c r="AC259" s="8">
        <f t="shared" si="26"/>
        <v>0</v>
      </c>
      <c r="AD259" s="8"/>
      <c r="AE259" s="8"/>
      <c r="AF259" s="8"/>
      <c r="AG259" s="8"/>
      <c r="AH259" s="8"/>
      <c r="AI259" s="8"/>
      <c r="AJ259" s="8"/>
      <c r="AK259" s="8"/>
      <c r="AL259" s="8"/>
      <c r="AM259" s="8">
        <v>174356907</v>
      </c>
      <c r="AN259" s="8">
        <f>SUBTOTAL(9,AC259:AM259)</f>
        <v>174356907</v>
      </c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>
        <v>143848070</v>
      </c>
      <c r="AZ259" s="8"/>
      <c r="BA259" s="8">
        <f>VLOOKUP(B259,[1]Hoja3!J$3:K$674,2,0)</f>
        <v>97396083</v>
      </c>
      <c r="BB259" s="8">
        <f>VLOOKUP(B259,'[2]anuladas en mayo gratuidad}'!K$2:L$55,2,0)</f>
        <v>30279439</v>
      </c>
      <c r="BC259" s="8">
        <f t="shared" si="27"/>
        <v>385321621</v>
      </c>
      <c r="BD259" s="4">
        <v>143848070</v>
      </c>
      <c r="BE259" s="4">
        <f t="shared" si="28"/>
        <v>241473551</v>
      </c>
      <c r="BF259" s="30">
        <f t="shared" si="29"/>
        <v>385321621</v>
      </c>
      <c r="BG259" s="18">
        <f t="shared" si="30"/>
        <v>0</v>
      </c>
      <c r="BH259" s="23"/>
      <c r="BI259" s="23"/>
      <c r="BJ259" s="23"/>
    </row>
    <row r="260" spans="1:66" ht="15" customHeight="1" x14ac:dyDescent="0.2">
      <c r="A260" s="1">
        <v>8907020231</v>
      </c>
      <c r="B260" s="1">
        <v>890702023</v>
      </c>
      <c r="C260" s="15">
        <v>211773217</v>
      </c>
      <c r="D260" s="16" t="s">
        <v>2214</v>
      </c>
      <c r="E260" s="41" t="s">
        <v>1940</v>
      </c>
      <c r="F260" s="28"/>
      <c r="G260" s="2"/>
      <c r="H260" s="3"/>
      <c r="I260" s="2"/>
      <c r="J260" s="29"/>
      <c r="K260" s="3"/>
      <c r="L260" s="2"/>
      <c r="M260" s="8"/>
      <c r="N260" s="3"/>
      <c r="O260" s="2"/>
      <c r="P260" s="3"/>
      <c r="Q260" s="2"/>
      <c r="R260" s="3"/>
      <c r="S260" s="3"/>
      <c r="T260" s="2"/>
      <c r="U260" s="8">
        <f t="shared" si="32"/>
        <v>0</v>
      </c>
      <c r="V260" s="8"/>
      <c r="W260" s="8"/>
      <c r="X260" s="8"/>
      <c r="Y260" s="8"/>
      <c r="Z260" s="8"/>
      <c r="AA260" s="8"/>
      <c r="AB260" s="8"/>
      <c r="AC260" s="8">
        <f t="shared" ref="AC260:AC323" si="33">SUM(U260:AB260)</f>
        <v>0</v>
      </c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>
        <v>311500355</v>
      </c>
      <c r="AZ260" s="8"/>
      <c r="BA260" s="8">
        <f>VLOOKUP(B260,[1]Hoja3!J$3:K$674,2,0)</f>
        <v>523410309</v>
      </c>
      <c r="BB260" s="8"/>
      <c r="BC260" s="8">
        <f t="shared" ref="BC260:BC323" si="34">SUM(AN260:BA260)-BB260</f>
        <v>834910664</v>
      </c>
      <c r="BD260" s="4">
        <v>311500355</v>
      </c>
      <c r="BE260" s="4">
        <f t="shared" ref="BE260:BE323" si="35">+AM260+BA260-BB260</f>
        <v>523410309</v>
      </c>
      <c r="BF260" s="30">
        <f t="shared" ref="BF260:BF323" si="36">+BD260+BE260</f>
        <v>834910664</v>
      </c>
      <c r="BG260" s="18">
        <f t="shared" ref="BG260:BG323" si="37">+BC260-BF260</f>
        <v>0</v>
      </c>
      <c r="BH260" s="23"/>
      <c r="BI260" s="23"/>
      <c r="BJ260" s="23"/>
    </row>
    <row r="261" spans="1:66" ht="15" customHeight="1" x14ac:dyDescent="0.2">
      <c r="A261" s="1">
        <v>8000144346</v>
      </c>
      <c r="B261" s="1">
        <v>800014434</v>
      </c>
      <c r="C261" s="15">
        <v>212081220</v>
      </c>
      <c r="D261" s="16" t="s">
        <v>950</v>
      </c>
      <c r="E261" s="41" t="s">
        <v>2011</v>
      </c>
      <c r="F261" s="28"/>
      <c r="G261" s="2"/>
      <c r="H261" s="3"/>
      <c r="I261" s="2"/>
      <c r="J261" s="29"/>
      <c r="K261" s="3"/>
      <c r="L261" s="2"/>
      <c r="M261" s="8"/>
      <c r="N261" s="3"/>
      <c r="O261" s="2"/>
      <c r="P261" s="3"/>
      <c r="Q261" s="2"/>
      <c r="R261" s="3"/>
      <c r="S261" s="3"/>
      <c r="T261" s="2"/>
      <c r="U261" s="8">
        <f t="shared" si="32"/>
        <v>0</v>
      </c>
      <c r="V261" s="8"/>
      <c r="W261" s="8"/>
      <c r="X261" s="8"/>
      <c r="Y261" s="8"/>
      <c r="Z261" s="8"/>
      <c r="AA261" s="8"/>
      <c r="AB261" s="8"/>
      <c r="AC261" s="8">
        <f t="shared" si="33"/>
        <v>0</v>
      </c>
      <c r="AD261" s="8"/>
      <c r="AE261" s="8"/>
      <c r="AF261" s="8"/>
      <c r="AG261" s="8"/>
      <c r="AH261" s="8"/>
      <c r="AI261" s="8"/>
      <c r="AJ261" s="8"/>
      <c r="AK261" s="8"/>
      <c r="AL261" s="8"/>
      <c r="AM261" s="8">
        <v>52999702</v>
      </c>
      <c r="AN261" s="8">
        <f>SUBTOTAL(9,AC261:AM261)</f>
        <v>52999702</v>
      </c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>
        <v>30823710</v>
      </c>
      <c r="AZ261" s="8"/>
      <c r="BA261" s="8"/>
      <c r="BB261" s="8"/>
      <c r="BC261" s="8">
        <f t="shared" si="34"/>
        <v>83823412</v>
      </c>
      <c r="BD261" s="4">
        <v>30823710</v>
      </c>
      <c r="BE261" s="4">
        <f t="shared" si="35"/>
        <v>52999702</v>
      </c>
      <c r="BF261" s="30">
        <f t="shared" si="36"/>
        <v>83823412</v>
      </c>
      <c r="BG261" s="18">
        <f t="shared" si="37"/>
        <v>0</v>
      </c>
      <c r="BH261" s="23"/>
      <c r="BI261" s="23"/>
      <c r="BJ261" s="23"/>
    </row>
    <row r="262" spans="1:66" ht="15" customHeight="1" x14ac:dyDescent="0.2">
      <c r="A262" s="1">
        <v>8000990703</v>
      </c>
      <c r="B262" s="1">
        <v>800099070</v>
      </c>
      <c r="C262" s="15">
        <v>212452224</v>
      </c>
      <c r="D262" s="16" t="s">
        <v>702</v>
      </c>
      <c r="E262" s="41" t="s">
        <v>1725</v>
      </c>
      <c r="F262" s="28"/>
      <c r="G262" s="2"/>
      <c r="H262" s="3"/>
      <c r="I262" s="2"/>
      <c r="J262" s="29"/>
      <c r="K262" s="3"/>
      <c r="L262" s="2"/>
      <c r="M262" s="8"/>
      <c r="N262" s="3"/>
      <c r="O262" s="2"/>
      <c r="P262" s="3"/>
      <c r="Q262" s="2"/>
      <c r="R262" s="3"/>
      <c r="S262" s="3"/>
      <c r="T262" s="2"/>
      <c r="U262" s="8">
        <f t="shared" si="32"/>
        <v>0</v>
      </c>
      <c r="V262" s="8"/>
      <c r="W262" s="8"/>
      <c r="X262" s="8"/>
      <c r="Y262" s="8"/>
      <c r="Z262" s="8"/>
      <c r="AA262" s="8"/>
      <c r="AB262" s="8"/>
      <c r="AC262" s="8">
        <f t="shared" si="33"/>
        <v>0</v>
      </c>
      <c r="AD262" s="8"/>
      <c r="AE262" s="8"/>
      <c r="AF262" s="8"/>
      <c r="AG262" s="8"/>
      <c r="AH262" s="8"/>
      <c r="AI262" s="8"/>
      <c r="AJ262" s="8"/>
      <c r="AK262" s="8"/>
      <c r="AL262" s="8"/>
      <c r="AM262" s="8">
        <v>104897894</v>
      </c>
      <c r="AN262" s="8">
        <f>SUBTOTAL(9,AC262:AM262)</f>
        <v>104897894</v>
      </c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>
        <v>53415685</v>
      </c>
      <c r="AZ262" s="8"/>
      <c r="BA262" s="8"/>
      <c r="BB262" s="8"/>
      <c r="BC262" s="8">
        <f t="shared" si="34"/>
        <v>158313579</v>
      </c>
      <c r="BD262" s="4">
        <v>53415685</v>
      </c>
      <c r="BE262" s="4">
        <f t="shared" si="35"/>
        <v>104897894</v>
      </c>
      <c r="BF262" s="30">
        <f t="shared" si="36"/>
        <v>158313579</v>
      </c>
      <c r="BG262" s="18">
        <f t="shared" si="37"/>
        <v>0</v>
      </c>
      <c r="BH262" s="23"/>
      <c r="BI262" s="23"/>
      <c r="BJ262" s="23"/>
    </row>
    <row r="263" spans="1:66" ht="15" customHeight="1" x14ac:dyDescent="0.2">
      <c r="A263" s="1">
        <v>8000991962</v>
      </c>
      <c r="B263" s="1">
        <v>800099196</v>
      </c>
      <c r="C263" s="15">
        <v>212315223</v>
      </c>
      <c r="D263" s="16" t="s">
        <v>242</v>
      </c>
      <c r="E263" s="41" t="s">
        <v>1277</v>
      </c>
      <c r="F263" s="28"/>
      <c r="G263" s="17"/>
      <c r="H263" s="3"/>
      <c r="I263" s="2"/>
      <c r="J263" s="29"/>
      <c r="K263" s="3"/>
      <c r="L263" s="17"/>
      <c r="M263" s="34"/>
      <c r="N263" s="3"/>
      <c r="O263" s="17"/>
      <c r="P263" s="3"/>
      <c r="Q263" s="2"/>
      <c r="R263" s="3"/>
      <c r="S263" s="3"/>
      <c r="T263" s="17"/>
      <c r="U263" s="8">
        <f t="shared" si="32"/>
        <v>0</v>
      </c>
      <c r="V263" s="8"/>
      <c r="W263" s="8"/>
      <c r="X263" s="8"/>
      <c r="Y263" s="8"/>
      <c r="Z263" s="8"/>
      <c r="AA263" s="8"/>
      <c r="AB263" s="8"/>
      <c r="AC263" s="8">
        <f t="shared" si="33"/>
        <v>0</v>
      </c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>
        <v>52506130</v>
      </c>
      <c r="AZ263" s="8"/>
      <c r="BA263" s="8">
        <f>VLOOKUP(B263,[1]Hoja3!J$3:K$674,2,0)</f>
        <v>100586290</v>
      </c>
      <c r="BB263" s="8"/>
      <c r="BC263" s="8">
        <f t="shared" si="34"/>
        <v>153092420</v>
      </c>
      <c r="BD263" s="4">
        <v>52506130</v>
      </c>
      <c r="BE263" s="4">
        <f t="shared" si="35"/>
        <v>100586290</v>
      </c>
      <c r="BF263" s="30">
        <f t="shared" si="36"/>
        <v>153092420</v>
      </c>
      <c r="BG263" s="18">
        <f t="shared" si="37"/>
        <v>0</v>
      </c>
      <c r="BH263" s="23"/>
      <c r="BI263" s="23"/>
      <c r="BJ263" s="14"/>
      <c r="BK263" s="14"/>
      <c r="BL263" s="14"/>
      <c r="BM263" s="14"/>
      <c r="BN263" s="14"/>
    </row>
    <row r="264" spans="1:66" ht="15" customHeight="1" x14ac:dyDescent="0.2">
      <c r="A264" s="1">
        <v>8920008120</v>
      </c>
      <c r="B264" s="1">
        <v>892000812</v>
      </c>
      <c r="C264" s="15">
        <v>212350223</v>
      </c>
      <c r="D264" s="16" t="s">
        <v>669</v>
      </c>
      <c r="E264" s="41" t="s">
        <v>1691</v>
      </c>
      <c r="F264" s="28"/>
      <c r="G264" s="2"/>
      <c r="H264" s="3"/>
      <c r="I264" s="2"/>
      <c r="J264" s="29"/>
      <c r="K264" s="3"/>
      <c r="L264" s="2"/>
      <c r="M264" s="8"/>
      <c r="N264" s="3"/>
      <c r="O264" s="2"/>
      <c r="P264" s="3"/>
      <c r="Q264" s="2"/>
      <c r="R264" s="3"/>
      <c r="S264" s="3"/>
      <c r="T264" s="2"/>
      <c r="U264" s="8">
        <f t="shared" si="32"/>
        <v>0</v>
      </c>
      <c r="V264" s="8"/>
      <c r="W264" s="8"/>
      <c r="X264" s="8"/>
      <c r="Y264" s="8"/>
      <c r="Z264" s="8"/>
      <c r="AA264" s="8"/>
      <c r="AB264" s="8"/>
      <c r="AC264" s="8">
        <f t="shared" si="33"/>
        <v>0</v>
      </c>
      <c r="AD264" s="8"/>
      <c r="AE264" s="8"/>
      <c r="AF264" s="8"/>
      <c r="AG264" s="8"/>
      <c r="AH264" s="8"/>
      <c r="AI264" s="8"/>
      <c r="AJ264" s="8"/>
      <c r="AK264" s="8"/>
      <c r="AL264" s="8"/>
      <c r="AM264" s="8">
        <v>97345342</v>
      </c>
      <c r="AN264" s="8">
        <f>SUBTOTAL(9,AC264:AM264)</f>
        <v>97345342</v>
      </c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>
        <v>41967090</v>
      </c>
      <c r="AZ264" s="8"/>
      <c r="BA264" s="8"/>
      <c r="BB264" s="8"/>
      <c r="BC264" s="8">
        <f t="shared" si="34"/>
        <v>139312432</v>
      </c>
      <c r="BD264" s="4">
        <v>41967090</v>
      </c>
      <c r="BE264" s="4">
        <f t="shared" si="35"/>
        <v>97345342</v>
      </c>
      <c r="BF264" s="30">
        <f t="shared" si="36"/>
        <v>139312432</v>
      </c>
      <c r="BG264" s="18">
        <f t="shared" si="37"/>
        <v>0</v>
      </c>
      <c r="BH264" s="23"/>
      <c r="BI264" s="23"/>
      <c r="BJ264" s="23"/>
    </row>
    <row r="265" spans="1:66" ht="15" customHeight="1" x14ac:dyDescent="0.2">
      <c r="A265" s="1">
        <v>8918020891</v>
      </c>
      <c r="B265" s="1">
        <v>891802089</v>
      </c>
      <c r="C265" s="15">
        <v>212415224</v>
      </c>
      <c r="D265" s="16" t="s">
        <v>243</v>
      </c>
      <c r="E265" s="41" t="s">
        <v>1278</v>
      </c>
      <c r="F265" s="28"/>
      <c r="G265" s="17"/>
      <c r="H265" s="3"/>
      <c r="I265" s="2"/>
      <c r="J265" s="29"/>
      <c r="K265" s="3"/>
      <c r="L265" s="17"/>
      <c r="M265" s="34"/>
      <c r="N265" s="3"/>
      <c r="O265" s="17"/>
      <c r="P265" s="3"/>
      <c r="Q265" s="2"/>
      <c r="R265" s="3"/>
      <c r="S265" s="3"/>
      <c r="T265" s="17"/>
      <c r="U265" s="8">
        <f t="shared" si="32"/>
        <v>0</v>
      </c>
      <c r="V265" s="8"/>
      <c r="W265" s="8"/>
      <c r="X265" s="8"/>
      <c r="Y265" s="8"/>
      <c r="Z265" s="8"/>
      <c r="AA265" s="8"/>
      <c r="AB265" s="8"/>
      <c r="AC265" s="8">
        <f t="shared" si="33"/>
        <v>0</v>
      </c>
      <c r="AD265" s="8"/>
      <c r="AE265" s="8"/>
      <c r="AF265" s="8"/>
      <c r="AG265" s="8"/>
      <c r="AH265" s="8"/>
      <c r="AI265" s="8"/>
      <c r="AJ265" s="8"/>
      <c r="AK265" s="8"/>
      <c r="AL265" s="8"/>
      <c r="AM265" s="8">
        <v>67733820</v>
      </c>
      <c r="AN265" s="8">
        <f>SUBTOTAL(9,AC265:AM265)</f>
        <v>67733820</v>
      </c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>
        <v>32739755</v>
      </c>
      <c r="AZ265" s="8"/>
      <c r="BA265" s="8"/>
      <c r="BB265" s="8"/>
      <c r="BC265" s="8">
        <f t="shared" si="34"/>
        <v>100473575</v>
      </c>
      <c r="BD265" s="4">
        <v>32739755</v>
      </c>
      <c r="BE265" s="4">
        <f t="shared" si="35"/>
        <v>67733820</v>
      </c>
      <c r="BF265" s="30">
        <f t="shared" si="36"/>
        <v>100473575</v>
      </c>
      <c r="BG265" s="18">
        <f t="shared" si="37"/>
        <v>0</v>
      </c>
      <c r="BH265" s="23"/>
      <c r="BI265" s="23"/>
      <c r="BJ265" s="14"/>
      <c r="BK265" s="14"/>
      <c r="BL265" s="14"/>
      <c r="BM265" s="14"/>
      <c r="BN265" s="14"/>
    </row>
    <row r="266" spans="1:66" ht="15" customHeight="1" x14ac:dyDescent="0.2">
      <c r="A266" s="1">
        <v>8999994066</v>
      </c>
      <c r="B266" s="1">
        <v>899999406</v>
      </c>
      <c r="C266" s="15">
        <v>212425224</v>
      </c>
      <c r="D266" s="16" t="s">
        <v>481</v>
      </c>
      <c r="E266" s="41" t="s">
        <v>1507</v>
      </c>
      <c r="F266" s="28"/>
      <c r="G266" s="2"/>
      <c r="H266" s="3"/>
      <c r="I266" s="2"/>
      <c r="J266" s="29"/>
      <c r="K266" s="3"/>
      <c r="L266" s="2"/>
      <c r="M266" s="8"/>
      <c r="N266" s="3"/>
      <c r="O266" s="2"/>
      <c r="P266" s="3"/>
      <c r="Q266" s="2"/>
      <c r="R266" s="3"/>
      <c r="S266" s="3"/>
      <c r="T266" s="2"/>
      <c r="U266" s="8">
        <f t="shared" si="32"/>
        <v>0</v>
      </c>
      <c r="V266" s="8"/>
      <c r="W266" s="8"/>
      <c r="X266" s="8"/>
      <c r="Y266" s="8"/>
      <c r="Z266" s="8"/>
      <c r="AA266" s="8"/>
      <c r="AB266" s="8"/>
      <c r="AC266" s="8">
        <f t="shared" si="33"/>
        <v>0</v>
      </c>
      <c r="AD266" s="8"/>
      <c r="AE266" s="8"/>
      <c r="AF266" s="8"/>
      <c r="AG266" s="8"/>
      <c r="AH266" s="8"/>
      <c r="AI266" s="8"/>
      <c r="AJ266" s="8"/>
      <c r="AK266" s="8"/>
      <c r="AL266" s="8"/>
      <c r="AM266" s="8">
        <v>119779007</v>
      </c>
      <c r="AN266" s="8">
        <f>SUBTOTAL(9,AC266:AM266)</f>
        <v>119779007</v>
      </c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>
        <f t="shared" si="34"/>
        <v>119779007</v>
      </c>
      <c r="BD266" s="4"/>
      <c r="BE266" s="4">
        <f t="shared" si="35"/>
        <v>119779007</v>
      </c>
      <c r="BF266" s="30">
        <f t="shared" si="36"/>
        <v>119779007</v>
      </c>
      <c r="BG266" s="18">
        <f t="shared" si="37"/>
        <v>0</v>
      </c>
      <c r="BH266" s="23"/>
      <c r="BI266" s="23"/>
      <c r="BJ266" s="23"/>
    </row>
    <row r="267" spans="1:66" ht="15" customHeight="1" x14ac:dyDescent="0.2">
      <c r="A267" s="1">
        <v>8000132377</v>
      </c>
      <c r="B267" s="1">
        <v>800013237</v>
      </c>
      <c r="C267" s="15">
        <v>212354223</v>
      </c>
      <c r="D267" s="16" t="s">
        <v>760</v>
      </c>
      <c r="E267" s="41" t="s">
        <v>1779</v>
      </c>
      <c r="F267" s="28"/>
      <c r="G267" s="2"/>
      <c r="H267" s="3"/>
      <c r="I267" s="2"/>
      <c r="J267" s="29"/>
      <c r="K267" s="3"/>
      <c r="L267" s="2"/>
      <c r="M267" s="8"/>
      <c r="N267" s="3"/>
      <c r="O267" s="2"/>
      <c r="P267" s="3"/>
      <c r="Q267" s="2"/>
      <c r="R267" s="3"/>
      <c r="S267" s="3"/>
      <c r="T267" s="2"/>
      <c r="U267" s="8">
        <f t="shared" si="32"/>
        <v>0</v>
      </c>
      <c r="V267" s="8"/>
      <c r="W267" s="8"/>
      <c r="X267" s="8"/>
      <c r="Y267" s="8"/>
      <c r="Z267" s="8"/>
      <c r="AA267" s="8"/>
      <c r="AB267" s="8"/>
      <c r="AC267" s="8">
        <f t="shared" si="33"/>
        <v>0</v>
      </c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>
        <v>68459580</v>
      </c>
      <c r="AZ267" s="8"/>
      <c r="BA267" s="8">
        <f>VLOOKUP(B267,[1]Hoja3!J$3:K$674,2,0)</f>
        <v>127312121</v>
      </c>
      <c r="BB267" s="8"/>
      <c r="BC267" s="8">
        <f t="shared" si="34"/>
        <v>195771701</v>
      </c>
      <c r="BD267" s="4">
        <v>68459580</v>
      </c>
      <c r="BE267" s="4">
        <f t="shared" si="35"/>
        <v>127312121</v>
      </c>
      <c r="BF267" s="30">
        <f t="shared" si="36"/>
        <v>195771701</v>
      </c>
      <c r="BG267" s="18">
        <f t="shared" si="37"/>
        <v>0</v>
      </c>
      <c r="BH267" s="23"/>
      <c r="BI267" s="23"/>
      <c r="BJ267" s="23"/>
    </row>
    <row r="268" spans="1:66" ht="15" customHeight="1" x14ac:dyDescent="0.2">
      <c r="A268" s="1">
        <v>8918557697</v>
      </c>
      <c r="B268" s="1">
        <v>891855769</v>
      </c>
      <c r="C268" s="15">
        <v>212615226</v>
      </c>
      <c r="D268" s="16" t="s">
        <v>244</v>
      </c>
      <c r="E268" s="41" t="s">
        <v>1279</v>
      </c>
      <c r="F268" s="28"/>
      <c r="G268" s="17"/>
      <c r="H268" s="3"/>
      <c r="I268" s="2"/>
      <c r="J268" s="29"/>
      <c r="K268" s="3"/>
      <c r="L268" s="17"/>
      <c r="M268" s="34"/>
      <c r="N268" s="3"/>
      <c r="O268" s="17"/>
      <c r="P268" s="3"/>
      <c r="Q268" s="2"/>
      <c r="R268" s="3"/>
      <c r="S268" s="3"/>
      <c r="T268" s="17"/>
      <c r="U268" s="8">
        <f t="shared" si="32"/>
        <v>0</v>
      </c>
      <c r="V268" s="8"/>
      <c r="W268" s="8"/>
      <c r="X268" s="8"/>
      <c r="Y268" s="8"/>
      <c r="Z268" s="8"/>
      <c r="AA268" s="8"/>
      <c r="AB268" s="8"/>
      <c r="AC268" s="8">
        <f t="shared" si="33"/>
        <v>0</v>
      </c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>
        <v>12745020</v>
      </c>
      <c r="AZ268" s="8"/>
      <c r="BA268" s="8">
        <f>VLOOKUP(B268,[1]Hoja3!J$3:K$674,2,0)</f>
        <v>28914032</v>
      </c>
      <c r="BB268" s="8"/>
      <c r="BC268" s="8">
        <f t="shared" si="34"/>
        <v>41659052</v>
      </c>
      <c r="BD268" s="4">
        <v>12745020</v>
      </c>
      <c r="BE268" s="4">
        <f t="shared" si="35"/>
        <v>28914032</v>
      </c>
      <c r="BF268" s="30">
        <f t="shared" si="36"/>
        <v>41659052</v>
      </c>
      <c r="BG268" s="18">
        <f t="shared" si="37"/>
        <v>0</v>
      </c>
      <c r="BH268" s="23"/>
      <c r="BI268" s="23"/>
      <c r="BJ268" s="14"/>
      <c r="BK268" s="14"/>
      <c r="BL268" s="14"/>
      <c r="BM268" s="14"/>
      <c r="BN268" s="14"/>
    </row>
    <row r="269" spans="1:66" ht="15" customHeight="1" x14ac:dyDescent="0.2">
      <c r="A269" s="1">
        <v>8920991849</v>
      </c>
      <c r="B269" s="1">
        <v>892099184</v>
      </c>
      <c r="C269" s="15">
        <v>212650226</v>
      </c>
      <c r="D269" s="16" t="s">
        <v>670</v>
      </c>
      <c r="E269" s="41" t="s">
        <v>1692</v>
      </c>
      <c r="F269" s="28"/>
      <c r="G269" s="2"/>
      <c r="H269" s="3"/>
      <c r="I269" s="2"/>
      <c r="J269" s="29"/>
      <c r="K269" s="3"/>
      <c r="L269" s="2"/>
      <c r="M269" s="8"/>
      <c r="N269" s="3"/>
      <c r="O269" s="2"/>
      <c r="P269" s="3"/>
      <c r="Q269" s="2"/>
      <c r="R269" s="3"/>
      <c r="S269" s="3"/>
      <c r="T269" s="2"/>
      <c r="U269" s="8">
        <f t="shared" si="32"/>
        <v>0</v>
      </c>
      <c r="V269" s="8"/>
      <c r="W269" s="8"/>
      <c r="X269" s="8"/>
      <c r="Y269" s="8"/>
      <c r="Z269" s="8"/>
      <c r="AA269" s="8"/>
      <c r="AB269" s="8"/>
      <c r="AC269" s="8">
        <f t="shared" si="33"/>
        <v>0</v>
      </c>
      <c r="AD269" s="8"/>
      <c r="AE269" s="8"/>
      <c r="AF269" s="8"/>
      <c r="AG269" s="8"/>
      <c r="AH269" s="8"/>
      <c r="AI269" s="8"/>
      <c r="AJ269" s="8"/>
      <c r="AK269" s="8"/>
      <c r="AL269" s="8"/>
      <c r="AM269" s="8">
        <v>370202217</v>
      </c>
      <c r="AN269" s="8">
        <f t="shared" ref="AN269:AN274" si="38">SUBTOTAL(9,AC269:AM269)</f>
        <v>370202217</v>
      </c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>
        <v>122880145</v>
      </c>
      <c r="AZ269" s="8"/>
      <c r="BA269" s="8"/>
      <c r="BB269" s="8"/>
      <c r="BC269" s="8">
        <f t="shared" si="34"/>
        <v>493082362</v>
      </c>
      <c r="BD269" s="4">
        <v>122880145</v>
      </c>
      <c r="BE269" s="4">
        <f t="shared" si="35"/>
        <v>370202217</v>
      </c>
      <c r="BF269" s="30">
        <f t="shared" si="36"/>
        <v>493082362</v>
      </c>
      <c r="BG269" s="18">
        <f t="shared" si="37"/>
        <v>0</v>
      </c>
      <c r="BH269" s="23"/>
      <c r="BI269" s="23"/>
      <c r="BJ269" s="23"/>
    </row>
    <row r="270" spans="1:66" ht="15" customHeight="1" x14ac:dyDescent="0.2">
      <c r="A270" s="1">
        <v>8420000171</v>
      </c>
      <c r="B270" s="1">
        <v>842000017</v>
      </c>
      <c r="C270" s="15">
        <v>217399773</v>
      </c>
      <c r="D270" s="16" t="s">
        <v>1000</v>
      </c>
      <c r="E270" s="41" t="s">
        <v>2058</v>
      </c>
      <c r="F270" s="28"/>
      <c r="G270" s="2"/>
      <c r="H270" s="3"/>
      <c r="I270" s="2"/>
      <c r="J270" s="29"/>
      <c r="K270" s="3"/>
      <c r="L270" s="2"/>
      <c r="M270" s="8"/>
      <c r="N270" s="3"/>
      <c r="O270" s="2"/>
      <c r="P270" s="3"/>
      <c r="Q270" s="2"/>
      <c r="R270" s="3"/>
      <c r="S270" s="3"/>
      <c r="T270" s="2"/>
      <c r="U270" s="8">
        <f t="shared" si="32"/>
        <v>0</v>
      </c>
      <c r="V270" s="8"/>
      <c r="W270" s="8"/>
      <c r="X270" s="8"/>
      <c r="Y270" s="8"/>
      <c r="Z270" s="8"/>
      <c r="AA270" s="8"/>
      <c r="AB270" s="8"/>
      <c r="AC270" s="8">
        <f t="shared" si="33"/>
        <v>0</v>
      </c>
      <c r="AD270" s="8"/>
      <c r="AE270" s="8"/>
      <c r="AF270" s="8"/>
      <c r="AG270" s="8"/>
      <c r="AH270" s="8"/>
      <c r="AI270" s="8"/>
      <c r="AJ270" s="8"/>
      <c r="AK270" s="8"/>
      <c r="AL270" s="8"/>
      <c r="AM270" s="8">
        <v>402976569</v>
      </c>
      <c r="AN270" s="8">
        <f t="shared" si="38"/>
        <v>402976569</v>
      </c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>
        <v>637531625</v>
      </c>
      <c r="AZ270" s="8"/>
      <c r="BA270" s="8">
        <f>VLOOKUP(B270,[1]Hoja3!J$3:K$674,2,0)</f>
        <v>461717015</v>
      </c>
      <c r="BB270" s="8"/>
      <c r="BC270" s="8">
        <f t="shared" si="34"/>
        <v>1502225209</v>
      </c>
      <c r="BD270" s="4">
        <v>637531625</v>
      </c>
      <c r="BE270" s="4">
        <f t="shared" si="35"/>
        <v>864693584</v>
      </c>
      <c r="BF270" s="30">
        <f t="shared" si="36"/>
        <v>1502225209</v>
      </c>
      <c r="BG270" s="18">
        <f t="shared" si="37"/>
        <v>0</v>
      </c>
      <c r="BH270" s="23"/>
      <c r="BI270" s="23"/>
      <c r="BJ270" s="23"/>
    </row>
    <row r="271" spans="1:66" ht="15" customHeight="1" x14ac:dyDescent="0.2">
      <c r="A271" s="1">
        <v>8000990663</v>
      </c>
      <c r="B271" s="1">
        <v>800099066</v>
      </c>
      <c r="C271" s="15">
        <v>212752227</v>
      </c>
      <c r="D271" s="16" t="s">
        <v>703</v>
      </c>
      <c r="E271" s="41" t="s">
        <v>1726</v>
      </c>
      <c r="F271" s="28"/>
      <c r="G271" s="2"/>
      <c r="H271" s="3"/>
      <c r="I271" s="2"/>
      <c r="J271" s="29"/>
      <c r="K271" s="3"/>
      <c r="L271" s="2"/>
      <c r="M271" s="8"/>
      <c r="N271" s="3"/>
      <c r="O271" s="2"/>
      <c r="P271" s="3"/>
      <c r="Q271" s="2"/>
      <c r="R271" s="3"/>
      <c r="S271" s="3"/>
      <c r="T271" s="2"/>
      <c r="U271" s="8">
        <f t="shared" si="32"/>
        <v>0</v>
      </c>
      <c r="V271" s="8"/>
      <c r="W271" s="8"/>
      <c r="X271" s="8"/>
      <c r="Y271" s="8"/>
      <c r="Z271" s="8"/>
      <c r="AA271" s="8"/>
      <c r="AB271" s="8"/>
      <c r="AC271" s="8">
        <f t="shared" si="33"/>
        <v>0</v>
      </c>
      <c r="AD271" s="8"/>
      <c r="AE271" s="8"/>
      <c r="AF271" s="8"/>
      <c r="AG271" s="8"/>
      <c r="AH271" s="8"/>
      <c r="AI271" s="8"/>
      <c r="AJ271" s="8"/>
      <c r="AK271" s="8"/>
      <c r="AL271" s="8"/>
      <c r="AM271" s="8">
        <v>231407341</v>
      </c>
      <c r="AN271" s="8">
        <f t="shared" si="38"/>
        <v>231407341</v>
      </c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>
        <v>260568575</v>
      </c>
      <c r="AZ271" s="8"/>
      <c r="BA271" s="8">
        <f>VLOOKUP(B271,[1]Hoja3!J$3:K$674,2,0)</f>
        <v>326386072</v>
      </c>
      <c r="BB271" s="8"/>
      <c r="BC271" s="8">
        <f t="shared" si="34"/>
        <v>818361988</v>
      </c>
      <c r="BD271" s="4">
        <v>260568575</v>
      </c>
      <c r="BE271" s="4">
        <f t="shared" si="35"/>
        <v>557793413</v>
      </c>
      <c r="BF271" s="30">
        <f t="shared" si="36"/>
        <v>818361988</v>
      </c>
      <c r="BG271" s="18">
        <f t="shared" si="37"/>
        <v>0</v>
      </c>
      <c r="BH271" s="23"/>
      <c r="BI271" s="23"/>
      <c r="BJ271" s="23"/>
    </row>
    <row r="272" spans="1:66" ht="15" customHeight="1" x14ac:dyDescent="0.2">
      <c r="A272" s="1">
        <v>8000990728</v>
      </c>
      <c r="B272" s="1">
        <v>800099072</v>
      </c>
      <c r="C272" s="15">
        <v>213352233</v>
      </c>
      <c r="D272" s="16" t="s">
        <v>704</v>
      </c>
      <c r="E272" s="41" t="s">
        <v>1727</v>
      </c>
      <c r="F272" s="28"/>
      <c r="G272" s="2"/>
      <c r="H272" s="3"/>
      <c r="I272" s="2"/>
      <c r="J272" s="29"/>
      <c r="K272" s="3"/>
      <c r="L272" s="2"/>
      <c r="M272" s="8"/>
      <c r="N272" s="3"/>
      <c r="O272" s="2"/>
      <c r="P272" s="3"/>
      <c r="Q272" s="2"/>
      <c r="R272" s="3"/>
      <c r="S272" s="3"/>
      <c r="T272" s="2"/>
      <c r="U272" s="8">
        <f t="shared" si="32"/>
        <v>0</v>
      </c>
      <c r="V272" s="8"/>
      <c r="W272" s="8"/>
      <c r="X272" s="8"/>
      <c r="Y272" s="8"/>
      <c r="Z272" s="8"/>
      <c r="AA272" s="8"/>
      <c r="AB272" s="8"/>
      <c r="AC272" s="8">
        <f t="shared" si="33"/>
        <v>0</v>
      </c>
      <c r="AD272" s="8"/>
      <c r="AE272" s="8"/>
      <c r="AF272" s="8"/>
      <c r="AG272" s="8"/>
      <c r="AH272" s="8"/>
      <c r="AI272" s="8"/>
      <c r="AJ272" s="8"/>
      <c r="AK272" s="8"/>
      <c r="AL272" s="8"/>
      <c r="AM272" s="8">
        <v>68770184</v>
      </c>
      <c r="AN272" s="8">
        <f t="shared" si="38"/>
        <v>68770184</v>
      </c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>
        <f>VLOOKUP(B272,[1]Hoja3!J$3:K$674,2,0)</f>
        <v>49290569</v>
      </c>
      <c r="BB272" s="8"/>
      <c r="BC272" s="8">
        <f t="shared" si="34"/>
        <v>118060753</v>
      </c>
      <c r="BD272" s="4"/>
      <c r="BE272" s="4">
        <f t="shared" si="35"/>
        <v>118060753</v>
      </c>
      <c r="BF272" s="30">
        <f t="shared" si="36"/>
        <v>118060753</v>
      </c>
      <c r="BG272" s="18">
        <f t="shared" si="37"/>
        <v>0</v>
      </c>
      <c r="BH272" s="23"/>
      <c r="BI272" s="23"/>
      <c r="BJ272" s="23"/>
    </row>
    <row r="273" spans="1:66" ht="15" customHeight="1" x14ac:dyDescent="0.2">
      <c r="A273" s="1">
        <v>8001000524</v>
      </c>
      <c r="B273" s="1">
        <v>800100052</v>
      </c>
      <c r="C273" s="15">
        <v>212673226</v>
      </c>
      <c r="D273" s="16" t="s">
        <v>2215</v>
      </c>
      <c r="E273" s="41" t="s">
        <v>1941</v>
      </c>
      <c r="F273" s="28"/>
      <c r="G273" s="2"/>
      <c r="H273" s="3"/>
      <c r="I273" s="2"/>
      <c r="J273" s="29"/>
      <c r="K273" s="3"/>
      <c r="L273" s="2"/>
      <c r="M273" s="8"/>
      <c r="N273" s="3"/>
      <c r="O273" s="2"/>
      <c r="P273" s="3"/>
      <c r="Q273" s="2"/>
      <c r="R273" s="3"/>
      <c r="S273" s="3"/>
      <c r="T273" s="2"/>
      <c r="U273" s="8">
        <f t="shared" si="32"/>
        <v>0</v>
      </c>
      <c r="V273" s="8"/>
      <c r="W273" s="8"/>
      <c r="X273" s="8"/>
      <c r="Y273" s="8"/>
      <c r="Z273" s="8"/>
      <c r="AA273" s="8"/>
      <c r="AB273" s="8"/>
      <c r="AC273" s="8">
        <f t="shared" si="33"/>
        <v>0</v>
      </c>
      <c r="AD273" s="8"/>
      <c r="AE273" s="8"/>
      <c r="AF273" s="8"/>
      <c r="AG273" s="8"/>
      <c r="AH273" s="8"/>
      <c r="AI273" s="8"/>
      <c r="AJ273" s="8"/>
      <c r="AK273" s="8"/>
      <c r="AL273" s="8"/>
      <c r="AM273" s="8">
        <v>81370628</v>
      </c>
      <c r="AN273" s="8">
        <f t="shared" si="38"/>
        <v>81370628</v>
      </c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>
        <v>69758500</v>
      </c>
      <c r="AZ273" s="8"/>
      <c r="BA273" s="8">
        <f>VLOOKUP(B273,[1]Hoja3!J$3:K$674,2,0)</f>
        <v>80517913</v>
      </c>
      <c r="BB273" s="8"/>
      <c r="BC273" s="8">
        <f t="shared" si="34"/>
        <v>231647041</v>
      </c>
      <c r="BD273" s="4">
        <v>69758500</v>
      </c>
      <c r="BE273" s="4">
        <f t="shared" si="35"/>
        <v>161888541</v>
      </c>
      <c r="BF273" s="30">
        <f t="shared" si="36"/>
        <v>231647041</v>
      </c>
      <c r="BG273" s="18">
        <f t="shared" si="37"/>
        <v>0</v>
      </c>
      <c r="BH273" s="23"/>
      <c r="BI273" s="23"/>
      <c r="BJ273" s="23"/>
    </row>
    <row r="274" spans="1:66" ht="15" customHeight="1" x14ac:dyDescent="0.2">
      <c r="A274" s="1">
        <v>8000957576</v>
      </c>
      <c r="B274" s="1">
        <v>800095757</v>
      </c>
      <c r="C274" s="15">
        <v>210518205</v>
      </c>
      <c r="D274" s="16" t="s">
        <v>364</v>
      </c>
      <c r="E274" s="41" t="s">
        <v>1394</v>
      </c>
      <c r="F274" s="28"/>
      <c r="G274" s="2"/>
      <c r="H274" s="3"/>
      <c r="I274" s="2"/>
      <c r="J274" s="29"/>
      <c r="K274" s="3"/>
      <c r="L274" s="2"/>
      <c r="M274" s="8"/>
      <c r="N274" s="3"/>
      <c r="O274" s="2"/>
      <c r="P274" s="3"/>
      <c r="Q274" s="2"/>
      <c r="R274" s="3"/>
      <c r="S274" s="3"/>
      <c r="T274" s="2"/>
      <c r="U274" s="8">
        <f t="shared" si="32"/>
        <v>0</v>
      </c>
      <c r="V274" s="8"/>
      <c r="W274" s="8"/>
      <c r="X274" s="8"/>
      <c r="Y274" s="8"/>
      <c r="Z274" s="8"/>
      <c r="AA274" s="8"/>
      <c r="AB274" s="8"/>
      <c r="AC274" s="8">
        <f t="shared" si="33"/>
        <v>0</v>
      </c>
      <c r="AD274" s="8"/>
      <c r="AE274" s="8"/>
      <c r="AF274" s="8"/>
      <c r="AG274" s="8"/>
      <c r="AH274" s="8"/>
      <c r="AI274" s="8"/>
      <c r="AJ274" s="8"/>
      <c r="AK274" s="8"/>
      <c r="AL274" s="8"/>
      <c r="AM274" s="8">
        <v>146362696</v>
      </c>
      <c r="AN274" s="8">
        <f t="shared" si="38"/>
        <v>146362696</v>
      </c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>
        <f>VLOOKUP(B274,[1]Hoja3!J$3:K$674,2,0)</f>
        <v>13061034</v>
      </c>
      <c r="BB274" s="8"/>
      <c r="BC274" s="8">
        <f t="shared" si="34"/>
        <v>159423730</v>
      </c>
      <c r="BD274" s="4"/>
      <c r="BE274" s="4">
        <f t="shared" si="35"/>
        <v>159423730</v>
      </c>
      <c r="BF274" s="30">
        <f t="shared" si="36"/>
        <v>159423730</v>
      </c>
      <c r="BG274" s="18">
        <f t="shared" si="37"/>
        <v>0</v>
      </c>
      <c r="BH274" s="23"/>
      <c r="BI274" s="23"/>
      <c r="BJ274" s="23"/>
    </row>
    <row r="275" spans="1:66" ht="15" customHeight="1" x14ac:dyDescent="0.2">
      <c r="A275" s="1">
        <v>8000994895</v>
      </c>
      <c r="B275" s="1">
        <v>800099489</v>
      </c>
      <c r="C275" s="15">
        <v>212968229</v>
      </c>
      <c r="D275" s="16" t="s">
        <v>834</v>
      </c>
      <c r="E275" s="41" t="s">
        <v>1832</v>
      </c>
      <c r="F275" s="28"/>
      <c r="G275" s="2"/>
      <c r="H275" s="3"/>
      <c r="I275" s="2"/>
      <c r="J275" s="29"/>
      <c r="K275" s="3"/>
      <c r="L275" s="2"/>
      <c r="M275" s="8"/>
      <c r="N275" s="3"/>
      <c r="O275" s="2"/>
      <c r="P275" s="3"/>
      <c r="Q275" s="2"/>
      <c r="R275" s="3"/>
      <c r="S275" s="3"/>
      <c r="T275" s="2"/>
      <c r="U275" s="8">
        <f t="shared" si="32"/>
        <v>0</v>
      </c>
      <c r="V275" s="8"/>
      <c r="W275" s="8"/>
      <c r="X275" s="8"/>
      <c r="Y275" s="8"/>
      <c r="Z275" s="8"/>
      <c r="AA275" s="8"/>
      <c r="AB275" s="8"/>
      <c r="AC275" s="8">
        <f t="shared" si="33"/>
        <v>0</v>
      </c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>
        <v>85170645</v>
      </c>
      <c r="AZ275" s="8"/>
      <c r="BA275" s="8">
        <f>VLOOKUP(B275,[1]Hoja3!J$3:K$674,2,0)</f>
        <v>169711582</v>
      </c>
      <c r="BB275" s="8"/>
      <c r="BC275" s="8">
        <f t="shared" si="34"/>
        <v>254882227</v>
      </c>
      <c r="BD275" s="4">
        <v>85170645</v>
      </c>
      <c r="BE275" s="4">
        <f t="shared" si="35"/>
        <v>169711582</v>
      </c>
      <c r="BF275" s="30">
        <f t="shared" si="36"/>
        <v>254882227</v>
      </c>
      <c r="BG275" s="18">
        <f t="shared" si="37"/>
        <v>0</v>
      </c>
      <c r="BH275" s="23"/>
      <c r="BI275" s="23"/>
      <c r="BJ275" s="23"/>
    </row>
    <row r="276" spans="1:66" ht="15" customHeight="1" x14ac:dyDescent="0.2">
      <c r="A276" s="1">
        <v>8000965804</v>
      </c>
      <c r="B276" s="1">
        <v>800096580</v>
      </c>
      <c r="C276" s="15">
        <v>212820228</v>
      </c>
      <c r="D276" s="16" t="s">
        <v>420</v>
      </c>
      <c r="E276" s="41" t="s">
        <v>1448</v>
      </c>
      <c r="F276" s="28"/>
      <c r="G276" s="2"/>
      <c r="H276" s="3"/>
      <c r="I276" s="2"/>
      <c r="J276" s="29"/>
      <c r="K276" s="3"/>
      <c r="L276" s="2"/>
      <c r="M276" s="8"/>
      <c r="N276" s="3"/>
      <c r="O276" s="2"/>
      <c r="P276" s="3"/>
      <c r="Q276" s="2"/>
      <c r="R276" s="3"/>
      <c r="S276" s="3"/>
      <c r="T276" s="2"/>
      <c r="U276" s="8">
        <f t="shared" si="32"/>
        <v>0</v>
      </c>
      <c r="V276" s="8"/>
      <c r="W276" s="8"/>
      <c r="X276" s="8"/>
      <c r="Y276" s="8"/>
      <c r="Z276" s="8"/>
      <c r="AA276" s="8"/>
      <c r="AB276" s="8"/>
      <c r="AC276" s="8">
        <f t="shared" si="33"/>
        <v>0</v>
      </c>
      <c r="AD276" s="8"/>
      <c r="AE276" s="8"/>
      <c r="AF276" s="8"/>
      <c r="AG276" s="8"/>
      <c r="AH276" s="8"/>
      <c r="AI276" s="8"/>
      <c r="AJ276" s="8"/>
      <c r="AK276" s="8"/>
      <c r="AL276" s="8"/>
      <c r="AM276" s="8">
        <v>612080956</v>
      </c>
      <c r="AN276" s="8">
        <f>SUBTOTAL(9,AC276:AM276)</f>
        <v>612080956</v>
      </c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>
        <v>327236845</v>
      </c>
      <c r="AZ276" s="8"/>
      <c r="BA276" s="8"/>
      <c r="BB276" s="8"/>
      <c r="BC276" s="8">
        <f t="shared" si="34"/>
        <v>939317801</v>
      </c>
      <c r="BD276" s="4">
        <v>327236845</v>
      </c>
      <c r="BE276" s="4">
        <f t="shared" si="35"/>
        <v>612080956</v>
      </c>
      <c r="BF276" s="30">
        <f t="shared" si="36"/>
        <v>939317801</v>
      </c>
      <c r="BG276" s="18">
        <f t="shared" si="37"/>
        <v>0</v>
      </c>
      <c r="BH276" s="23"/>
      <c r="BI276" s="23"/>
      <c r="BJ276" s="23"/>
    </row>
    <row r="277" spans="1:66" ht="15" customHeight="1" x14ac:dyDescent="0.2">
      <c r="A277" s="1">
        <v>8909800945</v>
      </c>
      <c r="B277" s="1">
        <v>890980094</v>
      </c>
      <c r="C277" s="15">
        <v>213405234</v>
      </c>
      <c r="D277" s="16" t="s">
        <v>82</v>
      </c>
      <c r="E277" s="41" t="s">
        <v>1113</v>
      </c>
      <c r="F277" s="28"/>
      <c r="G277" s="2"/>
      <c r="H277" s="3"/>
      <c r="I277" s="2"/>
      <c r="J277" s="29"/>
      <c r="K277" s="3"/>
      <c r="L277" s="2"/>
      <c r="M277" s="8"/>
      <c r="N277" s="3"/>
      <c r="O277" s="2"/>
      <c r="P277" s="3"/>
      <c r="Q277" s="2"/>
      <c r="R277" s="3"/>
      <c r="S277" s="3"/>
      <c r="T277" s="2"/>
      <c r="U277" s="8">
        <f t="shared" si="32"/>
        <v>0</v>
      </c>
      <c r="V277" s="8"/>
      <c r="W277" s="8"/>
      <c r="X277" s="8"/>
      <c r="Y277" s="8"/>
      <c r="Z277" s="8"/>
      <c r="AA277" s="8"/>
      <c r="AB277" s="8"/>
      <c r="AC277" s="8">
        <f t="shared" si="33"/>
        <v>0</v>
      </c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>
        <v>264282305</v>
      </c>
      <c r="AZ277" s="8"/>
      <c r="BA277" s="8">
        <f>VLOOKUP(B277,[1]Hoja3!J$3:K$674,2,0)</f>
        <v>371537160</v>
      </c>
      <c r="BB277" s="8"/>
      <c r="BC277" s="8">
        <f t="shared" si="34"/>
        <v>635819465</v>
      </c>
      <c r="BD277" s="4">
        <v>264282305</v>
      </c>
      <c r="BE277" s="4">
        <f t="shared" si="35"/>
        <v>371537160</v>
      </c>
      <c r="BF277" s="30">
        <f t="shared" si="36"/>
        <v>635819465</v>
      </c>
      <c r="BG277" s="18">
        <f t="shared" si="37"/>
        <v>0</v>
      </c>
      <c r="BH277" s="23"/>
      <c r="BI277" s="23"/>
      <c r="BJ277" s="23"/>
    </row>
    <row r="278" spans="1:66" ht="15" customHeight="1" x14ac:dyDescent="0.2">
      <c r="A278" s="1">
        <v>8001005145</v>
      </c>
      <c r="B278" s="1">
        <v>800100514</v>
      </c>
      <c r="C278" s="15">
        <v>213376233</v>
      </c>
      <c r="D278" s="16" t="s">
        <v>921</v>
      </c>
      <c r="E278" s="41" t="s">
        <v>1982</v>
      </c>
      <c r="F278" s="28"/>
      <c r="G278" s="2"/>
      <c r="H278" s="3"/>
      <c r="I278" s="2"/>
      <c r="J278" s="29"/>
      <c r="K278" s="3"/>
      <c r="L278" s="2"/>
      <c r="M278" s="8"/>
      <c r="N278" s="3"/>
      <c r="O278" s="2"/>
      <c r="P278" s="3"/>
      <c r="Q278" s="2"/>
      <c r="R278" s="3"/>
      <c r="S278" s="3"/>
      <c r="T278" s="2"/>
      <c r="U278" s="8">
        <f t="shared" si="32"/>
        <v>0</v>
      </c>
      <c r="V278" s="8"/>
      <c r="W278" s="8"/>
      <c r="X278" s="8"/>
      <c r="Y278" s="8"/>
      <c r="Z278" s="8"/>
      <c r="AA278" s="8"/>
      <c r="AB278" s="8"/>
      <c r="AC278" s="8">
        <f t="shared" si="33"/>
        <v>0</v>
      </c>
      <c r="AD278" s="8"/>
      <c r="AE278" s="8"/>
      <c r="AF278" s="8"/>
      <c r="AG278" s="8"/>
      <c r="AH278" s="8"/>
      <c r="AI278" s="8"/>
      <c r="AJ278" s="8"/>
      <c r="AK278" s="8"/>
      <c r="AL278" s="8"/>
      <c r="AM278" s="8">
        <v>234416238</v>
      </c>
      <c r="AN278" s="8">
        <f t="shared" ref="AN278:AN315" si="39">SUBTOTAL(9,AC278:AM278)</f>
        <v>234416238</v>
      </c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>
        <f>VLOOKUP(B278,[1]Hoja3!J$3:K$674,2,0)</f>
        <v>306277589</v>
      </c>
      <c r="BB278" s="8"/>
      <c r="BC278" s="8">
        <f t="shared" si="34"/>
        <v>540693827</v>
      </c>
      <c r="BD278" s="4"/>
      <c r="BE278" s="4">
        <f t="shared" si="35"/>
        <v>540693827</v>
      </c>
      <c r="BF278" s="30">
        <f t="shared" si="36"/>
        <v>540693827</v>
      </c>
      <c r="BG278" s="18">
        <f t="shared" si="37"/>
        <v>0</v>
      </c>
      <c r="BH278" s="23"/>
      <c r="BI278" s="23"/>
      <c r="BJ278" s="23"/>
    </row>
    <row r="279" spans="1:66" ht="15" customHeight="1" x14ac:dyDescent="0.2">
      <c r="A279" s="1">
        <v>8909002860</v>
      </c>
      <c r="B279" s="1">
        <v>890900286</v>
      </c>
      <c r="C279" s="15">
        <v>110505000</v>
      </c>
      <c r="D279" s="16" t="s">
        <v>30</v>
      </c>
      <c r="E279" s="53" t="s">
        <v>1047</v>
      </c>
      <c r="F279" s="39">
        <f>58389452408+1385842877</f>
        <v>59775295285</v>
      </c>
      <c r="G279" s="17"/>
      <c r="H279" s="3">
        <v>2762877812</v>
      </c>
      <c r="I279" s="17"/>
      <c r="J279" s="29">
        <v>4291897593</v>
      </c>
      <c r="K279" s="3">
        <v>8672249525</v>
      </c>
      <c r="L279" s="17"/>
      <c r="M279" s="7">
        <f t="shared" ref="M279:M319" si="40">SUM(F279:L279)</f>
        <v>75502320215</v>
      </c>
      <c r="N279" s="3">
        <f>58489087769+629928580</f>
        <v>59119016349</v>
      </c>
      <c r="O279" s="17"/>
      <c r="P279" s="3">
        <f>VLOOKUP(A279,'[3]PENS-CANC'!A$2:B$37,2,0)</f>
        <v>2762877812</v>
      </c>
      <c r="Q279" s="2"/>
      <c r="R279" s="3">
        <v>4294745665</v>
      </c>
      <c r="S279" s="3">
        <f>4380351932+4294745665</f>
        <v>8675097597</v>
      </c>
      <c r="T279" s="17"/>
      <c r="U279" s="8">
        <f t="shared" si="32"/>
        <v>150354057638</v>
      </c>
      <c r="V279" s="8">
        <v>95171702708</v>
      </c>
      <c r="W279" s="8"/>
      <c r="X279" s="8">
        <v>2762877812</v>
      </c>
      <c r="Y279" s="8"/>
      <c r="Z279" s="8">
        <v>3964309847</v>
      </c>
      <c r="AA279" s="8">
        <v>9073528622</v>
      </c>
      <c r="AB279" s="8"/>
      <c r="AC279" s="8">
        <f t="shared" si="33"/>
        <v>261326476627</v>
      </c>
      <c r="AD279" s="8">
        <v>59861203590</v>
      </c>
      <c r="AE279" s="8">
        <v>8689104450</v>
      </c>
      <c r="AF279" s="8"/>
      <c r="AG279" s="8">
        <v>2762877812</v>
      </c>
      <c r="AH279" s="8"/>
      <c r="AI279" s="8"/>
      <c r="AJ279" s="8">
        <v>4331714024</v>
      </c>
      <c r="AK279" s="8">
        <v>10938579222</v>
      </c>
      <c r="AL279" s="8"/>
      <c r="AM279" s="8"/>
      <c r="AN279" s="8">
        <f t="shared" si="39"/>
        <v>347909955725</v>
      </c>
      <c r="AO279" s="8">
        <v>58146870236</v>
      </c>
      <c r="AP279" s="8"/>
      <c r="AQ279" s="8"/>
      <c r="AR279" s="8">
        <v>2762877812</v>
      </c>
      <c r="AS279" s="8">
        <v>3180000504</v>
      </c>
      <c r="AT279" s="8"/>
      <c r="AU279" s="8"/>
      <c r="AV279" s="8">
        <v>4331714024</v>
      </c>
      <c r="AW279" s="8">
        <v>7415114548</v>
      </c>
      <c r="AX279" s="8"/>
      <c r="AY279" s="8"/>
      <c r="AZ279" s="8"/>
      <c r="BA279" s="8"/>
      <c r="BB279" s="8"/>
      <c r="BC279" s="8">
        <f t="shared" si="34"/>
        <v>423746532849</v>
      </c>
      <c r="BD279" s="4">
        <v>423746532849</v>
      </c>
      <c r="BE279" s="4">
        <f t="shared" si="35"/>
        <v>0</v>
      </c>
      <c r="BF279" s="30">
        <f t="shared" si="36"/>
        <v>423746532849</v>
      </c>
      <c r="BG279" s="18">
        <f t="shared" si="37"/>
        <v>0</v>
      </c>
      <c r="BH279" s="23"/>
      <c r="BI279" s="23"/>
      <c r="BJ279" s="14"/>
      <c r="BK279" s="14"/>
      <c r="BL279" s="14"/>
      <c r="BM279" s="14"/>
      <c r="BN279" s="14"/>
    </row>
    <row r="280" spans="1:66" ht="15" customHeight="1" x14ac:dyDescent="0.2">
      <c r="A280" s="1">
        <v>8001028385</v>
      </c>
      <c r="B280" s="1">
        <v>800102838</v>
      </c>
      <c r="C280" s="15">
        <v>118181000</v>
      </c>
      <c r="D280" s="16" t="s">
        <v>14</v>
      </c>
      <c r="E280" s="53" t="s">
        <v>1021</v>
      </c>
      <c r="F280" s="28">
        <f>9080681231+151217321</f>
        <v>9231898552</v>
      </c>
      <c r="G280" s="17"/>
      <c r="H280" s="3">
        <v>35483017</v>
      </c>
      <c r="I280" s="17"/>
      <c r="J280" s="29">
        <v>636196461</v>
      </c>
      <c r="K280" s="3">
        <v>1286846544</v>
      </c>
      <c r="L280" s="17"/>
      <c r="M280" s="7">
        <f t="shared" si="40"/>
        <v>11190424574</v>
      </c>
      <c r="N280" s="3">
        <f>8776356106+68735146</f>
        <v>8845091252</v>
      </c>
      <c r="O280" s="17"/>
      <c r="P280" s="3">
        <f>VLOOKUP(A280,'[3]PENS-CANC'!A$2:B$37,2,0)</f>
        <v>35483017</v>
      </c>
      <c r="Q280" s="2"/>
      <c r="R280" s="3">
        <v>636196461</v>
      </c>
      <c r="S280" s="3">
        <f>650650083+636196461</f>
        <v>1286846544</v>
      </c>
      <c r="T280" s="17"/>
      <c r="U280" s="8">
        <f t="shared" si="32"/>
        <v>21994041848</v>
      </c>
      <c r="V280" s="8">
        <v>10930317841</v>
      </c>
      <c r="W280" s="8"/>
      <c r="X280" s="8">
        <v>35483017</v>
      </c>
      <c r="Y280" s="8"/>
      <c r="Z280" s="8">
        <v>529685887</v>
      </c>
      <c r="AA280" s="8">
        <v>1179673462</v>
      </c>
      <c r="AB280" s="8"/>
      <c r="AC280" s="8">
        <f t="shared" si="33"/>
        <v>34669202055</v>
      </c>
      <c r="AD280" s="8">
        <v>8652746537</v>
      </c>
      <c r="AE280" s="8">
        <v>853011120</v>
      </c>
      <c r="AF280" s="8"/>
      <c r="AG280" s="8">
        <v>35483017</v>
      </c>
      <c r="AH280" s="8"/>
      <c r="AI280" s="8"/>
      <c r="AJ280" s="8">
        <v>590234599</v>
      </c>
      <c r="AK280" s="8">
        <v>1487902940</v>
      </c>
      <c r="AL280" s="8"/>
      <c r="AM280" s="8"/>
      <c r="AN280" s="8">
        <f t="shared" si="39"/>
        <v>46288580268</v>
      </c>
      <c r="AO280" s="8">
        <v>8652746537</v>
      </c>
      <c r="AP280" s="8"/>
      <c r="AQ280" s="8"/>
      <c r="AR280" s="8">
        <v>35483017</v>
      </c>
      <c r="AS280" s="8">
        <v>0</v>
      </c>
      <c r="AT280" s="8"/>
      <c r="AU280" s="8"/>
      <c r="AV280" s="8">
        <v>590234599</v>
      </c>
      <c r="AW280" s="8">
        <v>1009455404</v>
      </c>
      <c r="AX280" s="8"/>
      <c r="AY280" s="8"/>
      <c r="AZ280" s="8"/>
      <c r="BA280" s="8"/>
      <c r="BB280" s="8"/>
      <c r="BC280" s="8">
        <f t="shared" si="34"/>
        <v>56576499825</v>
      </c>
      <c r="BD280" s="4">
        <v>56576499825</v>
      </c>
      <c r="BE280" s="4">
        <f t="shared" si="35"/>
        <v>0</v>
      </c>
      <c r="BF280" s="30">
        <f t="shared" si="36"/>
        <v>56576499825</v>
      </c>
      <c r="BG280" s="18">
        <f t="shared" si="37"/>
        <v>0</v>
      </c>
      <c r="BH280" s="23"/>
      <c r="BI280" s="23"/>
      <c r="BJ280" s="14"/>
      <c r="BK280" s="14"/>
      <c r="BL280" s="14"/>
      <c r="BM280" s="14"/>
      <c r="BN280" s="14"/>
    </row>
    <row r="281" spans="1:66" ht="15" customHeight="1" x14ac:dyDescent="0.2">
      <c r="A281" s="1">
        <v>8904800591</v>
      </c>
      <c r="B281" s="1">
        <v>890480059</v>
      </c>
      <c r="C281" s="15">
        <v>111313000</v>
      </c>
      <c r="D281" s="16" t="s">
        <v>28</v>
      </c>
      <c r="E281" s="53" t="s">
        <v>1040</v>
      </c>
      <c r="F281" s="39">
        <f>32026659376+503365467</f>
        <v>32530024843</v>
      </c>
      <c r="G281" s="17"/>
      <c r="H281" s="3">
        <v>985171409</v>
      </c>
      <c r="I281" s="17"/>
      <c r="J281" s="29">
        <v>2332436867</v>
      </c>
      <c r="K281" s="3">
        <v>4734662380</v>
      </c>
      <c r="L281" s="17"/>
      <c r="M281" s="7">
        <f t="shared" si="40"/>
        <v>40582295499</v>
      </c>
      <c r="N281" s="3">
        <f>31955482129+228802485</f>
        <v>32184284614</v>
      </c>
      <c r="O281" s="17"/>
      <c r="P281" s="3">
        <f>VLOOKUP(A281,'[3]PENS-CANC'!A$2:B$37,2,0)</f>
        <v>985171409</v>
      </c>
      <c r="Q281" s="2"/>
      <c r="R281" s="3">
        <v>2333120125</v>
      </c>
      <c r="S281" s="3">
        <f>2402225513+2333120125</f>
        <v>4735345638</v>
      </c>
      <c r="T281" s="17"/>
      <c r="U281" s="8">
        <f t="shared" si="32"/>
        <v>80820217285</v>
      </c>
      <c r="V281" s="8">
        <v>46029005212</v>
      </c>
      <c r="W281" s="8"/>
      <c r="X281" s="8">
        <v>985171409</v>
      </c>
      <c r="Y281" s="8"/>
      <c r="Z281" s="8">
        <v>2274233432</v>
      </c>
      <c r="AA281" s="8">
        <v>5145670009</v>
      </c>
      <c r="AB281" s="8"/>
      <c r="AC281" s="8">
        <f t="shared" si="33"/>
        <v>135254297347</v>
      </c>
      <c r="AD281" s="8">
        <v>33394833721</v>
      </c>
      <c r="AE281" s="8">
        <v>2821811415</v>
      </c>
      <c r="AF281" s="8"/>
      <c r="AG281" s="8">
        <v>985171409</v>
      </c>
      <c r="AH281" s="8"/>
      <c r="AI281" s="8"/>
      <c r="AJ281" s="8">
        <v>2351267189</v>
      </c>
      <c r="AK281" s="8">
        <v>5942486649</v>
      </c>
      <c r="AL281" s="8"/>
      <c r="AM281" s="8"/>
      <c r="AN281" s="8">
        <f t="shared" si="39"/>
        <v>180749867730</v>
      </c>
      <c r="AO281" s="8">
        <v>33394833721</v>
      </c>
      <c r="AP281" s="8"/>
      <c r="AQ281" s="8"/>
      <c r="AR281" s="8">
        <v>985171409</v>
      </c>
      <c r="AS281" s="8">
        <v>0</v>
      </c>
      <c r="AT281" s="8"/>
      <c r="AU281" s="8"/>
      <c r="AV281" s="8">
        <v>2351267189</v>
      </c>
      <c r="AW281" s="8">
        <v>4028210797</v>
      </c>
      <c r="AX281" s="8"/>
      <c r="AY281" s="8"/>
      <c r="AZ281" s="8"/>
      <c r="BA281" s="8"/>
      <c r="BB281" s="8"/>
      <c r="BC281" s="8">
        <f t="shared" si="34"/>
        <v>221509350846</v>
      </c>
      <c r="BD281" s="4">
        <v>221509350846</v>
      </c>
      <c r="BE281" s="4">
        <f t="shared" si="35"/>
        <v>0</v>
      </c>
      <c r="BF281" s="30">
        <f t="shared" si="36"/>
        <v>221509350846</v>
      </c>
      <c r="BG281" s="18">
        <f t="shared" si="37"/>
        <v>0</v>
      </c>
      <c r="BH281" s="23"/>
      <c r="BI281" s="23"/>
      <c r="BJ281" s="14"/>
      <c r="BK281" s="14"/>
      <c r="BL281" s="14"/>
      <c r="BM281" s="14"/>
      <c r="BN281" s="14"/>
    </row>
    <row r="282" spans="1:66" ht="15" customHeight="1" x14ac:dyDescent="0.2">
      <c r="A282" s="1">
        <v>8918004981</v>
      </c>
      <c r="B282" s="1">
        <v>891800498</v>
      </c>
      <c r="C282" s="15">
        <v>111515000</v>
      </c>
      <c r="D282" s="16" t="s">
        <v>34</v>
      </c>
      <c r="E282" s="53" t="s">
        <v>2092</v>
      </c>
      <c r="F282" s="28">
        <f>30350471031+584388343</f>
        <v>30934859374</v>
      </c>
      <c r="G282" s="17"/>
      <c r="H282" s="3">
        <v>1803337580</v>
      </c>
      <c r="I282" s="17"/>
      <c r="J282" s="29">
        <v>1958781520</v>
      </c>
      <c r="K282" s="3">
        <v>3980764111</v>
      </c>
      <c r="L282" s="17"/>
      <c r="M282" s="7">
        <f t="shared" si="40"/>
        <v>38677742585</v>
      </c>
      <c r="N282" s="3">
        <f>30265413276+265631065</f>
        <v>30531044341</v>
      </c>
      <c r="O282" s="17"/>
      <c r="P282" s="3">
        <f>VLOOKUP(A282,'[3]PENS-CANC'!A$2:B$37,2,0)</f>
        <v>1803337580</v>
      </c>
      <c r="Q282" s="2"/>
      <c r="R282" s="3">
        <v>1958781520</v>
      </c>
      <c r="S282" s="3">
        <f>2021982591+1958781520</f>
        <v>3980764111</v>
      </c>
      <c r="T282" s="17"/>
      <c r="U282" s="8">
        <f t="shared" si="32"/>
        <v>76951670137</v>
      </c>
      <c r="V282" s="8">
        <v>39462044899</v>
      </c>
      <c r="W282" s="8"/>
      <c r="X282" s="8">
        <v>1803337580</v>
      </c>
      <c r="Y282" s="8"/>
      <c r="Z282" s="8">
        <v>1992954453</v>
      </c>
      <c r="AA282" s="8">
        <v>4273956297</v>
      </c>
      <c r="AB282" s="8"/>
      <c r="AC282" s="8">
        <f t="shared" si="33"/>
        <v>124483963366</v>
      </c>
      <c r="AD282" s="8">
        <v>29304705943</v>
      </c>
      <c r="AE282" s="8">
        <v>2685960613</v>
      </c>
      <c r="AF282" s="8"/>
      <c r="AG282" s="8">
        <v>1803337580</v>
      </c>
      <c r="AH282" s="8"/>
      <c r="AI282" s="8"/>
      <c r="AJ282" s="8">
        <v>1998552905</v>
      </c>
      <c r="AK282" s="8">
        <v>5041009858</v>
      </c>
      <c r="AL282" s="8"/>
      <c r="AM282" s="8"/>
      <c r="AN282" s="8">
        <f t="shared" si="39"/>
        <v>165317530265</v>
      </c>
      <c r="AO282" s="8">
        <v>29304705943</v>
      </c>
      <c r="AP282" s="8"/>
      <c r="AQ282" s="8"/>
      <c r="AR282" s="8">
        <v>1803337580</v>
      </c>
      <c r="AS282" s="8">
        <v>534368936</v>
      </c>
      <c r="AT282" s="8"/>
      <c r="AU282" s="8"/>
      <c r="AV282" s="8">
        <v>1998552905</v>
      </c>
      <c r="AW282" s="8">
        <v>3415019968</v>
      </c>
      <c r="AX282" s="8"/>
      <c r="AY282" s="8"/>
      <c r="AZ282" s="8"/>
      <c r="BA282" s="8"/>
      <c r="BB282" s="8"/>
      <c r="BC282" s="8">
        <f t="shared" si="34"/>
        <v>202373515597</v>
      </c>
      <c r="BD282" s="4">
        <v>202373515597</v>
      </c>
      <c r="BE282" s="4">
        <f t="shared" si="35"/>
        <v>0</v>
      </c>
      <c r="BF282" s="30">
        <f t="shared" si="36"/>
        <v>202373515597</v>
      </c>
      <c r="BG282" s="18">
        <f t="shared" si="37"/>
        <v>0</v>
      </c>
      <c r="BH282" s="23"/>
      <c r="BI282" s="23"/>
      <c r="BJ282" s="14"/>
      <c r="BK282" s="14"/>
      <c r="BL282" s="14"/>
      <c r="BM282" s="14"/>
      <c r="BN282" s="14"/>
    </row>
    <row r="283" spans="1:66" ht="15" customHeight="1" x14ac:dyDescent="0.2">
      <c r="A283" s="31">
        <v>8908010521</v>
      </c>
      <c r="B283" s="1">
        <v>890801052</v>
      </c>
      <c r="C283" s="15">
        <v>111717000</v>
      </c>
      <c r="D283" s="16" t="s">
        <v>29</v>
      </c>
      <c r="E283" s="53" t="s">
        <v>1045</v>
      </c>
      <c r="F283" s="28">
        <f>15593572584+428875575</f>
        <v>16022448159</v>
      </c>
      <c r="G283" s="17"/>
      <c r="H283" s="3">
        <v>0</v>
      </c>
      <c r="I283" s="17"/>
      <c r="J283" s="29">
        <v>1167545129</v>
      </c>
      <c r="K283" s="3">
        <v>2354473785</v>
      </c>
      <c r="L283" s="17"/>
      <c r="M283" s="7">
        <f t="shared" si="40"/>
        <v>19544467073</v>
      </c>
      <c r="N283" s="3">
        <f>15779474466+1991808660</f>
        <v>17771283126</v>
      </c>
      <c r="O283" s="17"/>
      <c r="P283" s="3">
        <f>VLOOKUP(A283,'[3]PENS-CANC'!A$2:B$37,2,0)</f>
        <v>0</v>
      </c>
      <c r="Q283" s="2"/>
      <c r="R283" s="3">
        <v>1184152647</v>
      </c>
      <c r="S283" s="3">
        <f>1186928656+1167545129</f>
        <v>2354473785</v>
      </c>
      <c r="T283" s="17"/>
      <c r="U283" s="8">
        <f t="shared" si="32"/>
        <v>40854376631</v>
      </c>
      <c r="V283" s="8">
        <v>22869902773</v>
      </c>
      <c r="W283" s="8"/>
      <c r="X283" s="8">
        <v>0</v>
      </c>
      <c r="Y283" s="8"/>
      <c r="Z283" s="8">
        <v>1186334175</v>
      </c>
      <c r="AA283" s="8">
        <v>2526668304</v>
      </c>
      <c r="AB283" s="8"/>
      <c r="AC283" s="8">
        <f t="shared" si="33"/>
        <v>67437281883</v>
      </c>
      <c r="AD283" s="8">
        <v>16282477813</v>
      </c>
      <c r="AE283" s="8">
        <v>2170827708</v>
      </c>
      <c r="AF283" s="8"/>
      <c r="AG283" s="8">
        <v>0</v>
      </c>
      <c r="AH283" s="8"/>
      <c r="AI283" s="8"/>
      <c r="AJ283" s="8">
        <v>1183537491</v>
      </c>
      <c r="AK283" s="8">
        <v>2988170981</v>
      </c>
      <c r="AL283" s="8"/>
      <c r="AM283" s="8"/>
      <c r="AN283" s="8">
        <f t="shared" si="39"/>
        <v>90062295876</v>
      </c>
      <c r="AO283" s="8">
        <v>16282477813</v>
      </c>
      <c r="AP283" s="8"/>
      <c r="AQ283" s="8"/>
      <c r="AR283" s="8"/>
      <c r="AS283" s="8">
        <v>968790045</v>
      </c>
      <c r="AT283" s="8"/>
      <c r="AU283" s="8"/>
      <c r="AV283" s="8">
        <v>1183537491</v>
      </c>
      <c r="AW283" s="8">
        <v>2025363477</v>
      </c>
      <c r="AX283" s="8"/>
      <c r="AY283" s="8"/>
      <c r="AZ283" s="8"/>
      <c r="BA283" s="8"/>
      <c r="BB283" s="8"/>
      <c r="BC283" s="8">
        <f t="shared" si="34"/>
        <v>110522464702</v>
      </c>
      <c r="BD283" s="4">
        <v>110522464702</v>
      </c>
      <c r="BE283" s="4">
        <f t="shared" si="35"/>
        <v>0</v>
      </c>
      <c r="BF283" s="30">
        <f t="shared" si="36"/>
        <v>110522464702</v>
      </c>
      <c r="BG283" s="18">
        <f t="shared" si="37"/>
        <v>0</v>
      </c>
      <c r="BH283" s="23"/>
      <c r="BI283" s="23"/>
      <c r="BJ283" s="14"/>
      <c r="BK283" s="14"/>
      <c r="BL283" s="14"/>
      <c r="BM283" s="14"/>
      <c r="BN283" s="14"/>
    </row>
    <row r="284" spans="1:66" ht="15" customHeight="1" x14ac:dyDescent="0.2">
      <c r="A284" s="1">
        <v>8920992166</v>
      </c>
      <c r="B284" s="1">
        <v>892099216</v>
      </c>
      <c r="C284" s="15">
        <v>118585000</v>
      </c>
      <c r="D284" s="16" t="s">
        <v>37</v>
      </c>
      <c r="E284" s="53" t="s">
        <v>1068</v>
      </c>
      <c r="F284" s="28">
        <f>7889353542+368023993</f>
        <v>8257377535</v>
      </c>
      <c r="G284" s="17"/>
      <c r="H284" s="3">
        <v>62294604</v>
      </c>
      <c r="I284" s="17"/>
      <c r="J284" s="29">
        <v>576769237</v>
      </c>
      <c r="K284" s="3">
        <v>1169157034</v>
      </c>
      <c r="L284" s="17"/>
      <c r="M284" s="7">
        <f t="shared" si="40"/>
        <v>10065598410</v>
      </c>
      <c r="N284" s="3">
        <f>7918899136+167283633</f>
        <v>8086182769</v>
      </c>
      <c r="O284" s="17"/>
      <c r="P284" s="3">
        <f>VLOOKUP(A284,'[3]PENS-CANC'!A$2:B$37,2,0)</f>
        <v>62294604</v>
      </c>
      <c r="Q284" s="2"/>
      <c r="R284" s="3">
        <v>576769237</v>
      </c>
      <c r="S284" s="3">
        <f>592387797+576769237</f>
        <v>1169157034</v>
      </c>
      <c r="T284" s="17"/>
      <c r="U284" s="8">
        <f t="shared" si="32"/>
        <v>19960002054</v>
      </c>
      <c r="V284" s="8">
        <v>11311380602</v>
      </c>
      <c r="W284" s="8"/>
      <c r="X284" s="8">
        <v>62294604</v>
      </c>
      <c r="Y284" s="8"/>
      <c r="Z284" s="8">
        <v>500150206</v>
      </c>
      <c r="AA284" s="8">
        <v>1159242813</v>
      </c>
      <c r="AB284" s="8"/>
      <c r="AC284" s="8">
        <f t="shared" si="33"/>
        <v>32993070279</v>
      </c>
      <c r="AD284" s="8">
        <v>8154076506</v>
      </c>
      <c r="AE284" s="8">
        <v>1509018837</v>
      </c>
      <c r="AF284" s="8"/>
      <c r="AG284" s="8">
        <v>62294604</v>
      </c>
      <c r="AH284" s="8"/>
      <c r="AI284" s="8"/>
      <c r="AJ284" s="8">
        <v>573110661</v>
      </c>
      <c r="AK284" s="8">
        <v>1450526673</v>
      </c>
      <c r="AL284" s="8"/>
      <c r="AM284" s="8"/>
      <c r="AN284" s="8">
        <f t="shared" si="39"/>
        <v>44742097560</v>
      </c>
      <c r="AO284" s="8">
        <v>8154076506</v>
      </c>
      <c r="AP284" s="8">
        <v>795415907</v>
      </c>
      <c r="AQ284" s="8"/>
      <c r="AR284" s="8">
        <v>62294604</v>
      </c>
      <c r="AS284" s="8">
        <v>0</v>
      </c>
      <c r="AT284" s="8"/>
      <c r="AU284" s="8"/>
      <c r="AV284" s="8">
        <v>573110661</v>
      </c>
      <c r="AW284" s="8">
        <v>984038937</v>
      </c>
      <c r="AX284" s="8"/>
      <c r="AY284" s="8"/>
      <c r="AZ284" s="8"/>
      <c r="BA284" s="8"/>
      <c r="BB284" s="8"/>
      <c r="BC284" s="8">
        <f t="shared" si="34"/>
        <v>55311034175</v>
      </c>
      <c r="BD284" s="4">
        <v>55311034175</v>
      </c>
      <c r="BE284" s="4">
        <f t="shared" si="35"/>
        <v>0</v>
      </c>
      <c r="BF284" s="30">
        <f t="shared" si="36"/>
        <v>55311034175</v>
      </c>
      <c r="BG284" s="18">
        <f t="shared" si="37"/>
        <v>0</v>
      </c>
      <c r="BH284" s="23"/>
      <c r="BI284" s="23"/>
      <c r="BJ284" s="14"/>
      <c r="BK284" s="14"/>
      <c r="BL284" s="14"/>
      <c r="BM284" s="14"/>
      <c r="BN284" s="14"/>
    </row>
    <row r="285" spans="1:66" ht="15" customHeight="1" x14ac:dyDescent="0.2">
      <c r="A285" s="1">
        <v>8001039356</v>
      </c>
      <c r="B285" s="1">
        <v>800103935</v>
      </c>
      <c r="C285" s="15">
        <v>112323000</v>
      </c>
      <c r="D285" s="16" t="s">
        <v>20</v>
      </c>
      <c r="E285" s="53" t="s">
        <v>1027</v>
      </c>
      <c r="F285" s="28">
        <f>34089591919+381128749</f>
        <v>34470720668</v>
      </c>
      <c r="G285" s="17"/>
      <c r="H285" s="3">
        <v>508966832</v>
      </c>
      <c r="I285" s="17"/>
      <c r="J285" s="29">
        <v>2497163883</v>
      </c>
      <c r="K285" s="3">
        <v>5120452154</v>
      </c>
      <c r="L285" s="17"/>
      <c r="M285" s="7">
        <f t="shared" si="40"/>
        <v>42597303537</v>
      </c>
      <c r="N285" s="3">
        <f>34587601351+173240341</f>
        <v>34760841692</v>
      </c>
      <c r="O285" s="17"/>
      <c r="P285" s="3">
        <f>VLOOKUP(A285,'[3]PENS-CANC'!A$2:B$37,2,0)</f>
        <v>508966832</v>
      </c>
      <c r="Q285" s="2"/>
      <c r="R285" s="3">
        <v>2497470601</v>
      </c>
      <c r="S285" s="3">
        <f>2623288271+2497470601</f>
        <v>5120758872</v>
      </c>
      <c r="T285" s="17"/>
      <c r="U285" s="8">
        <f t="shared" si="32"/>
        <v>85485341534</v>
      </c>
      <c r="V285" s="8">
        <v>53198249704</v>
      </c>
      <c r="W285" s="8"/>
      <c r="X285" s="8">
        <v>508966832</v>
      </c>
      <c r="Y285" s="8"/>
      <c r="Z285" s="8">
        <v>2482920616</v>
      </c>
      <c r="AA285" s="8">
        <v>5050941798</v>
      </c>
      <c r="AB285" s="8"/>
      <c r="AC285" s="8">
        <f t="shared" si="33"/>
        <v>146726420484</v>
      </c>
      <c r="AD285" s="8">
        <v>35384332660</v>
      </c>
      <c r="AE285" s="8">
        <v>2500080616</v>
      </c>
      <c r="AF285" s="8"/>
      <c r="AG285" s="8">
        <v>508966832</v>
      </c>
      <c r="AH285" s="8"/>
      <c r="AI285" s="8"/>
      <c r="AJ285" s="8">
        <v>2483133181</v>
      </c>
      <c r="AK285" s="8">
        <v>6266698266</v>
      </c>
      <c r="AL285" s="8"/>
      <c r="AM285" s="8"/>
      <c r="AN285" s="8">
        <f t="shared" si="39"/>
        <v>193869632039</v>
      </c>
      <c r="AO285" s="8">
        <v>35384332660</v>
      </c>
      <c r="AP285" s="8">
        <v>1527472493</v>
      </c>
      <c r="AQ285" s="8"/>
      <c r="AR285" s="8">
        <v>508966832</v>
      </c>
      <c r="AS285" s="8">
        <v>3208368204</v>
      </c>
      <c r="AT285" s="8"/>
      <c r="AU285" s="8"/>
      <c r="AV285" s="8">
        <v>2483133181</v>
      </c>
      <c r="AW285" s="8">
        <v>4245548800</v>
      </c>
      <c r="AX285" s="8"/>
      <c r="AY285" s="8"/>
      <c r="AZ285" s="8"/>
      <c r="BA285" s="8"/>
      <c r="BB285" s="8"/>
      <c r="BC285" s="8">
        <f t="shared" si="34"/>
        <v>241227454209</v>
      </c>
      <c r="BD285" s="4">
        <v>241227454209</v>
      </c>
      <c r="BE285" s="4">
        <f t="shared" si="35"/>
        <v>0</v>
      </c>
      <c r="BF285" s="30">
        <f t="shared" si="36"/>
        <v>241227454209</v>
      </c>
      <c r="BG285" s="18">
        <f t="shared" si="37"/>
        <v>0</v>
      </c>
      <c r="BH285" s="23"/>
      <c r="BI285" s="23"/>
      <c r="BJ285" s="14"/>
      <c r="BK285" s="14"/>
      <c r="BL285" s="14"/>
      <c r="BM285" s="14"/>
      <c r="BN285" s="14"/>
    </row>
    <row r="286" spans="1:66" s="33" customFormat="1" ht="15" customHeight="1" x14ac:dyDescent="0.2">
      <c r="A286" s="1">
        <v>8999991140</v>
      </c>
      <c r="B286" s="1">
        <v>899999114</v>
      </c>
      <c r="C286" s="15">
        <v>112525000</v>
      </c>
      <c r="D286" s="16" t="s">
        <v>42</v>
      </c>
      <c r="E286" s="52" t="s">
        <v>2263</v>
      </c>
      <c r="F286" s="28">
        <f>37575562160+652157325</f>
        <v>38227719485</v>
      </c>
      <c r="G286" s="35"/>
      <c r="H286" s="3">
        <v>3339633797</v>
      </c>
      <c r="I286" s="35"/>
      <c r="J286" s="29">
        <v>2648316571</v>
      </c>
      <c r="K286" s="3">
        <v>5321508198</v>
      </c>
      <c r="L286" s="35"/>
      <c r="M286" s="44">
        <f t="shared" si="40"/>
        <v>49537178051</v>
      </c>
      <c r="N286" s="3">
        <f>37175671815+296435148</f>
        <v>37472106963</v>
      </c>
      <c r="O286" s="35"/>
      <c r="P286" s="3">
        <f>VLOOKUP(A286,'[3]PENS-CANC'!A$2:B$37,2,0)</f>
        <v>3339633797</v>
      </c>
      <c r="Q286" s="2"/>
      <c r="R286" s="3">
        <v>2648316571</v>
      </c>
      <c r="S286" s="3">
        <f>2673191627+2648316571</f>
        <v>5321508198</v>
      </c>
      <c r="T286" s="35"/>
      <c r="U286" s="8">
        <f t="shared" si="32"/>
        <v>98318743580</v>
      </c>
      <c r="V286" s="8">
        <v>51819174889</v>
      </c>
      <c r="W286" s="8"/>
      <c r="X286" s="8">
        <v>3339633797</v>
      </c>
      <c r="Y286" s="8"/>
      <c r="Z286" s="8">
        <v>2504407690</v>
      </c>
      <c r="AA286" s="8">
        <v>5754753486</v>
      </c>
      <c r="AB286" s="8"/>
      <c r="AC286" s="8">
        <f t="shared" si="33"/>
        <v>161736713442</v>
      </c>
      <c r="AD286" s="8">
        <v>37416576849</v>
      </c>
      <c r="AE286" s="8">
        <v>11122408971</v>
      </c>
      <c r="AF286" s="8"/>
      <c r="AG286" s="8">
        <v>3339633797</v>
      </c>
      <c r="AH286" s="8"/>
      <c r="AI286" s="8"/>
      <c r="AJ286" s="8">
        <v>2707647015</v>
      </c>
      <c r="AK286" s="8">
        <v>6829918988</v>
      </c>
      <c r="AL286" s="8"/>
      <c r="AM286" s="8"/>
      <c r="AN286" s="8">
        <f t="shared" si="39"/>
        <v>223152899062</v>
      </c>
      <c r="AO286" s="8">
        <v>37416576849</v>
      </c>
      <c r="AP286" s="8"/>
      <c r="AQ286" s="8"/>
      <c r="AR286" s="8">
        <v>3339633797</v>
      </c>
      <c r="AS286" s="8">
        <v>3217459427</v>
      </c>
      <c r="AT286" s="8"/>
      <c r="AU286" s="8"/>
      <c r="AV286" s="8">
        <v>2707647015</v>
      </c>
      <c r="AW286" s="8">
        <v>4627539270</v>
      </c>
      <c r="AX286" s="8"/>
      <c r="AY286" s="8"/>
      <c r="AZ286" s="8"/>
      <c r="BA286" s="8"/>
      <c r="BB286" s="8"/>
      <c r="BC286" s="8">
        <f t="shared" si="34"/>
        <v>274461755420</v>
      </c>
      <c r="BD286" s="4">
        <v>274461755420</v>
      </c>
      <c r="BE286" s="4">
        <f t="shared" si="35"/>
        <v>0</v>
      </c>
      <c r="BF286" s="30">
        <f t="shared" si="36"/>
        <v>274461755420</v>
      </c>
      <c r="BG286" s="18">
        <f t="shared" si="37"/>
        <v>0</v>
      </c>
      <c r="BH286" s="23"/>
      <c r="BI286" s="18"/>
      <c r="BJ286" s="14"/>
      <c r="BK286" s="36"/>
      <c r="BL286" s="36"/>
      <c r="BM286" s="36"/>
      <c r="BN286" s="36"/>
    </row>
    <row r="287" spans="1:66" ht="15" customHeight="1" x14ac:dyDescent="0.2">
      <c r="A287" s="1">
        <v>8920991490</v>
      </c>
      <c r="B287" s="1">
        <v>892099149</v>
      </c>
      <c r="C287" s="15">
        <v>119494000</v>
      </c>
      <c r="D287" s="16" t="s">
        <v>36</v>
      </c>
      <c r="E287" s="53" t="s">
        <v>1067</v>
      </c>
      <c r="F287" s="28">
        <f>1675611157+1199695701</f>
        <v>2875306858</v>
      </c>
      <c r="G287" s="17"/>
      <c r="H287" s="3">
        <v>15146835</v>
      </c>
      <c r="I287" s="17"/>
      <c r="J287" s="29">
        <v>77591840</v>
      </c>
      <c r="K287" s="3">
        <v>158768503</v>
      </c>
      <c r="L287" s="17"/>
      <c r="M287" s="7">
        <f t="shared" si="40"/>
        <v>3126814036</v>
      </c>
      <c r="N287" s="3">
        <f>1711260018+545316228</f>
        <v>2256576246</v>
      </c>
      <c r="O287" s="17"/>
      <c r="P287" s="3">
        <f>VLOOKUP(A287,'[3]PENS-CANC'!A$2:B$37,2,0)</f>
        <v>15146835</v>
      </c>
      <c r="Q287" s="2"/>
      <c r="R287" s="3">
        <v>77591840</v>
      </c>
      <c r="S287" s="3">
        <f>81176663+77591840</f>
        <v>158768503</v>
      </c>
      <c r="T287" s="17"/>
      <c r="U287" s="8">
        <f t="shared" si="32"/>
        <v>5634897460</v>
      </c>
      <c r="V287" s="8">
        <v>2985768178</v>
      </c>
      <c r="W287" s="8"/>
      <c r="X287" s="8">
        <v>15146835</v>
      </c>
      <c r="Y287" s="8"/>
      <c r="Z287" s="8">
        <v>70432084</v>
      </c>
      <c r="AA287" s="8">
        <v>160663459</v>
      </c>
      <c r="AB287" s="8"/>
      <c r="AC287" s="8">
        <f t="shared" si="33"/>
        <v>8866908016</v>
      </c>
      <c r="AD287" s="8">
        <v>2060758101</v>
      </c>
      <c r="AE287" s="8">
        <v>6732407370</v>
      </c>
      <c r="AF287" s="8"/>
      <c r="AG287" s="8">
        <v>15146835</v>
      </c>
      <c r="AH287" s="8"/>
      <c r="AI287" s="8"/>
      <c r="AJ287" s="8">
        <v>77369879</v>
      </c>
      <c r="AK287" s="8">
        <v>196948746</v>
      </c>
      <c r="AL287" s="8"/>
      <c r="AM287" s="8"/>
      <c r="AN287" s="8">
        <f t="shared" si="39"/>
        <v>17949538947</v>
      </c>
      <c r="AO287" s="8">
        <v>2060758101</v>
      </c>
      <c r="AP287" s="8"/>
      <c r="AQ287" s="8"/>
      <c r="AR287" s="8">
        <v>15146835</v>
      </c>
      <c r="AS287" s="8">
        <v>625737525</v>
      </c>
      <c r="AT287" s="8"/>
      <c r="AU287" s="8"/>
      <c r="AV287" s="8">
        <v>77369879</v>
      </c>
      <c r="AW287" s="8">
        <v>133923448</v>
      </c>
      <c r="AX287" s="8"/>
      <c r="AY287" s="8">
        <v>237255020</v>
      </c>
      <c r="AZ287" s="8"/>
      <c r="BA287" s="8"/>
      <c r="BB287" s="8"/>
      <c r="BC287" s="8">
        <f t="shared" si="34"/>
        <v>21099729755</v>
      </c>
      <c r="BD287" s="4">
        <v>21099729755</v>
      </c>
      <c r="BE287" s="4">
        <f t="shared" si="35"/>
        <v>0</v>
      </c>
      <c r="BF287" s="30">
        <f t="shared" si="36"/>
        <v>21099729755</v>
      </c>
      <c r="BG287" s="18">
        <f t="shared" si="37"/>
        <v>0</v>
      </c>
      <c r="BH287" s="23"/>
      <c r="BI287" s="14"/>
      <c r="BJ287" s="14"/>
      <c r="BK287" s="14"/>
      <c r="BL287" s="14"/>
      <c r="BM287" s="14"/>
      <c r="BN287" s="14"/>
    </row>
    <row r="288" spans="1:66" ht="15" customHeight="1" x14ac:dyDescent="0.2">
      <c r="A288" s="1">
        <v>8001031961</v>
      </c>
      <c r="B288" s="1">
        <v>800103196</v>
      </c>
      <c r="C288" s="15">
        <v>119595000</v>
      </c>
      <c r="D288" s="16" t="s">
        <v>15</v>
      </c>
      <c r="E288" s="53" t="s">
        <v>1022</v>
      </c>
      <c r="F288" s="28">
        <f>3197296463+596690422</f>
        <v>3793986885</v>
      </c>
      <c r="G288" s="17"/>
      <c r="H288" s="3">
        <v>9575745</v>
      </c>
      <c r="I288" s="17"/>
      <c r="J288" s="29">
        <v>194358760</v>
      </c>
      <c r="K288" s="3">
        <v>397574857</v>
      </c>
      <c r="L288" s="17"/>
      <c r="M288" s="7">
        <f t="shared" si="40"/>
        <v>4395496247</v>
      </c>
      <c r="N288" s="3">
        <f>3232685656+271222919</f>
        <v>3503908575</v>
      </c>
      <c r="O288" s="17"/>
      <c r="P288" s="3">
        <f>VLOOKUP(A288,'[3]PENS-CANC'!A$2:B$37,2,0)</f>
        <v>9575745</v>
      </c>
      <c r="Q288" s="2"/>
      <c r="R288" s="3">
        <v>194358760</v>
      </c>
      <c r="S288" s="3">
        <f>203216097+194358760</f>
        <v>397574857</v>
      </c>
      <c r="T288" s="17"/>
      <c r="U288" s="8">
        <f t="shared" si="32"/>
        <v>8500914184</v>
      </c>
      <c r="V288" s="8">
        <v>5620349330</v>
      </c>
      <c r="W288" s="8"/>
      <c r="X288" s="8">
        <v>0</v>
      </c>
      <c r="Y288" s="8"/>
      <c r="Z288" s="8">
        <v>163330329</v>
      </c>
      <c r="AA288" s="8">
        <v>376907694</v>
      </c>
      <c r="AB288" s="8"/>
      <c r="AC288" s="8">
        <f t="shared" si="33"/>
        <v>14661501537</v>
      </c>
      <c r="AD288" s="8">
        <v>3251335017</v>
      </c>
      <c r="AE288" s="8">
        <v>2217802942</v>
      </c>
      <c r="AF288" s="8"/>
      <c r="AG288" s="8">
        <v>9575745</v>
      </c>
      <c r="AH288" s="8"/>
      <c r="AI288" s="8"/>
      <c r="AJ288" s="8">
        <v>191511734</v>
      </c>
      <c r="AK288" s="8">
        <v>485371842</v>
      </c>
      <c r="AL288" s="8"/>
      <c r="AM288" s="8"/>
      <c r="AN288" s="8">
        <f t="shared" si="39"/>
        <v>20817098817</v>
      </c>
      <c r="AO288" s="8">
        <v>3251335017</v>
      </c>
      <c r="AP288" s="8"/>
      <c r="AQ288" s="8"/>
      <c r="AR288" s="8">
        <v>9575745</v>
      </c>
      <c r="AS288" s="8">
        <v>643541716</v>
      </c>
      <c r="AT288" s="8"/>
      <c r="AU288" s="8"/>
      <c r="AV288" s="8">
        <v>191511734</v>
      </c>
      <c r="AW288" s="8">
        <v>329442670</v>
      </c>
      <c r="AX288" s="8"/>
      <c r="AY288" s="8"/>
      <c r="AZ288" s="8"/>
      <c r="BA288" s="8"/>
      <c r="BB288" s="8"/>
      <c r="BC288" s="8">
        <f t="shared" si="34"/>
        <v>25242505699</v>
      </c>
      <c r="BD288" s="4">
        <v>25242505699</v>
      </c>
      <c r="BE288" s="4">
        <f t="shared" si="35"/>
        <v>0</v>
      </c>
      <c r="BF288" s="30">
        <f t="shared" si="36"/>
        <v>25242505699</v>
      </c>
      <c r="BG288" s="18">
        <f t="shared" si="37"/>
        <v>0</v>
      </c>
      <c r="BH288" s="23"/>
      <c r="BI288" s="14"/>
      <c r="BJ288" s="14"/>
      <c r="BK288" s="14"/>
      <c r="BL288" s="14"/>
      <c r="BM288" s="14"/>
      <c r="BN288" s="14"/>
    </row>
    <row r="289" spans="1:66" ht="15" customHeight="1" x14ac:dyDescent="0.2">
      <c r="A289" s="1">
        <v>8921150151</v>
      </c>
      <c r="B289" s="48">
        <v>892115015</v>
      </c>
      <c r="C289" s="15">
        <v>114444000</v>
      </c>
      <c r="D289" s="16" t="s">
        <v>38</v>
      </c>
      <c r="E289" s="53" t="s">
        <v>1069</v>
      </c>
      <c r="F289" s="28">
        <f>9365013815+514782153</f>
        <v>9879795968</v>
      </c>
      <c r="G289" s="17"/>
      <c r="H289" s="3">
        <v>142898927</v>
      </c>
      <c r="I289" s="17"/>
      <c r="J289" s="29">
        <v>603464099</v>
      </c>
      <c r="K289" s="3">
        <v>1210098541</v>
      </c>
      <c r="L289" s="17"/>
      <c r="M289" s="7">
        <f t="shared" si="40"/>
        <v>11836257535</v>
      </c>
      <c r="N289" s="3">
        <f>10500000000+627994000+233991888</f>
        <v>11361985888</v>
      </c>
      <c r="O289" s="17"/>
      <c r="P289" s="3">
        <f>VLOOKUP(A289,'[3]PENS-CANC'!A$2:B$37,2,0)</f>
        <v>142898927</v>
      </c>
      <c r="Q289" s="2"/>
      <c r="R289" s="3">
        <v>679138146</v>
      </c>
      <c r="S289" s="3">
        <f>606634442+603464099</f>
        <v>1210098541</v>
      </c>
      <c r="T289" s="17"/>
      <c r="U289" s="8">
        <f t="shared" si="32"/>
        <v>25230379037</v>
      </c>
      <c r="V289" s="8">
        <v>14175810297</v>
      </c>
      <c r="W289" s="8"/>
      <c r="X289" s="8">
        <v>142898927</v>
      </c>
      <c r="Y289" s="8"/>
      <c r="Z289" s="8">
        <v>475542661</v>
      </c>
      <c r="AA289" s="8">
        <v>1291965290</v>
      </c>
      <c r="AB289" s="8"/>
      <c r="AC289" s="8">
        <f t="shared" si="33"/>
        <v>41316596212</v>
      </c>
      <c r="AD289" s="8">
        <v>11837007398</v>
      </c>
      <c r="AE289" s="8">
        <v>4817269551</v>
      </c>
      <c r="AF289" s="8"/>
      <c r="AG289" s="8">
        <v>142898927</v>
      </c>
      <c r="AH289" s="8"/>
      <c r="AI289" s="8"/>
      <c r="AJ289" s="8">
        <v>597974443</v>
      </c>
      <c r="AK289" s="8">
        <v>1510259011</v>
      </c>
      <c r="AL289" s="8"/>
      <c r="AM289" s="8"/>
      <c r="AN289" s="8">
        <f t="shared" si="39"/>
        <v>60222005542</v>
      </c>
      <c r="AO289" s="8">
        <f>11837007398+1500000000</f>
        <v>13337007398</v>
      </c>
      <c r="AP289" s="8">
        <v>1625270207</v>
      </c>
      <c r="AQ289" s="8"/>
      <c r="AR289" s="8">
        <v>142898927</v>
      </c>
      <c r="AS289" s="8">
        <v>3316078012</v>
      </c>
      <c r="AT289" s="8"/>
      <c r="AU289" s="8"/>
      <c r="AV289" s="8">
        <v>597974443</v>
      </c>
      <c r="AW289" s="8">
        <v>1023488881</v>
      </c>
      <c r="AX289" s="8"/>
      <c r="AY289" s="8"/>
      <c r="AZ289" s="8"/>
      <c r="BA289" s="8"/>
      <c r="BB289" s="8"/>
      <c r="BC289" s="8">
        <f t="shared" si="34"/>
        <v>80264723410</v>
      </c>
      <c r="BD289" s="4">
        <v>80264723410</v>
      </c>
      <c r="BE289" s="4">
        <f t="shared" si="35"/>
        <v>0</v>
      </c>
      <c r="BF289" s="30">
        <f t="shared" si="36"/>
        <v>80264723410</v>
      </c>
      <c r="BG289" s="18">
        <f t="shared" si="37"/>
        <v>0</v>
      </c>
      <c r="BH289" s="23"/>
      <c r="BI289" s="14"/>
      <c r="BJ289" s="14"/>
      <c r="BK289" s="14"/>
      <c r="BL289" s="14"/>
      <c r="BM289" s="14"/>
      <c r="BN289" s="14"/>
    </row>
    <row r="290" spans="1:66" ht="15" customHeight="1" x14ac:dyDescent="0.2">
      <c r="A290" s="1">
        <v>8001039238</v>
      </c>
      <c r="B290" s="1">
        <v>800103923</v>
      </c>
      <c r="C290" s="15">
        <v>115252000</v>
      </c>
      <c r="D290" s="16" t="s">
        <v>18</v>
      </c>
      <c r="E290" s="53" t="s">
        <v>1025</v>
      </c>
      <c r="F290" s="28">
        <f>30756578522+648104243</f>
        <v>31404682765</v>
      </c>
      <c r="G290" s="17"/>
      <c r="H290" s="3">
        <v>1025228897</v>
      </c>
      <c r="I290" s="17"/>
      <c r="J290" s="29">
        <v>2040364942</v>
      </c>
      <c r="K290" s="3">
        <v>4194530554</v>
      </c>
      <c r="L290" s="17"/>
      <c r="M290" s="7">
        <f t="shared" si="40"/>
        <v>38664807158</v>
      </c>
      <c r="N290" s="3">
        <f>30893494943+294592838</f>
        <v>31188087781</v>
      </c>
      <c r="O290" s="17"/>
      <c r="P290" s="3">
        <f>VLOOKUP(A290,'[3]PENS-CANC'!A$2:B$37,2,0)</f>
        <v>1025228897</v>
      </c>
      <c r="Q290" s="2"/>
      <c r="R290" s="3">
        <v>2040364942</v>
      </c>
      <c r="S290" s="3">
        <f>2154165612+2040364942</f>
        <v>4194530554</v>
      </c>
      <c r="T290" s="17"/>
      <c r="U290" s="8">
        <f t="shared" si="32"/>
        <v>77113019332</v>
      </c>
      <c r="V290" s="8">
        <v>46624258190</v>
      </c>
      <c r="W290" s="8"/>
      <c r="X290" s="8">
        <v>1025228897</v>
      </c>
      <c r="Y290" s="8"/>
      <c r="Z290" s="8">
        <v>2006391135</v>
      </c>
      <c r="AA290" s="8">
        <v>4390806918</v>
      </c>
      <c r="AB290" s="8"/>
      <c r="AC290" s="8">
        <f t="shared" si="33"/>
        <v>131159704472</v>
      </c>
      <c r="AD290" s="8">
        <v>32492570926</v>
      </c>
      <c r="AE290" s="8">
        <v>2962388744</v>
      </c>
      <c r="AF290" s="8"/>
      <c r="AG290" s="8">
        <v>1025228897</v>
      </c>
      <c r="AH290" s="8"/>
      <c r="AI290" s="8"/>
      <c r="AJ290" s="8">
        <v>2059854051</v>
      </c>
      <c r="AK290" s="8">
        <v>5208527032</v>
      </c>
      <c r="AL290" s="8"/>
      <c r="AM290" s="8"/>
      <c r="AN290" s="8">
        <f t="shared" si="39"/>
        <v>174908274122</v>
      </c>
      <c r="AO290" s="8">
        <v>32492570926</v>
      </c>
      <c r="AP290" s="8"/>
      <c r="AQ290" s="8"/>
      <c r="AR290" s="8">
        <v>1025228897</v>
      </c>
      <c r="AS290" s="8">
        <v>2061997362</v>
      </c>
      <c r="AT290" s="8"/>
      <c r="AU290" s="8"/>
      <c r="AV290" s="8">
        <v>2059854051</v>
      </c>
      <c r="AW290" s="8">
        <v>3530863452</v>
      </c>
      <c r="AX290" s="8"/>
      <c r="AY290" s="8"/>
      <c r="AZ290" s="8"/>
      <c r="BA290" s="8"/>
      <c r="BB290" s="8"/>
      <c r="BC290" s="8">
        <f t="shared" si="34"/>
        <v>216078788810</v>
      </c>
      <c r="BD290" s="4">
        <v>216078788810</v>
      </c>
      <c r="BE290" s="4">
        <f t="shared" si="35"/>
        <v>0</v>
      </c>
      <c r="BF290" s="30">
        <f t="shared" si="36"/>
        <v>216078788810</v>
      </c>
      <c r="BG290" s="18">
        <f t="shared" si="37"/>
        <v>0</v>
      </c>
      <c r="BH290" s="23"/>
      <c r="BI290" s="14"/>
      <c r="BJ290" s="14"/>
      <c r="BK290" s="14"/>
      <c r="BL290" s="14"/>
      <c r="BM290" s="14"/>
      <c r="BN290" s="14"/>
    </row>
    <row r="291" spans="1:66" ht="15" customHeight="1" x14ac:dyDescent="0.2">
      <c r="A291" s="1">
        <v>8001039277</v>
      </c>
      <c r="B291" s="1">
        <v>800103927</v>
      </c>
      <c r="C291" s="15">
        <v>115454000</v>
      </c>
      <c r="D291" s="16" t="s">
        <v>19</v>
      </c>
      <c r="E291" s="53" t="s">
        <v>1026</v>
      </c>
      <c r="F291" s="28">
        <f>22219402510+383972849</f>
        <v>22603375359</v>
      </c>
      <c r="G291" s="17"/>
      <c r="H291" s="3">
        <v>1114881956</v>
      </c>
      <c r="I291" s="17"/>
      <c r="J291" s="29">
        <v>1466127053</v>
      </c>
      <c r="K291" s="3">
        <v>2946574100</v>
      </c>
      <c r="L291" s="17"/>
      <c r="M291" s="7">
        <f t="shared" si="40"/>
        <v>28130958468</v>
      </c>
      <c r="N291" s="3">
        <f>20721705786+174533113</f>
        <v>20896238899</v>
      </c>
      <c r="O291" s="17"/>
      <c r="P291" s="3">
        <f>VLOOKUP(A291,'[3]PENS-CANC'!A$2:B$37,2,0)</f>
        <v>1114881956</v>
      </c>
      <c r="Q291" s="2"/>
      <c r="R291" s="3">
        <v>1466127053</v>
      </c>
      <c r="S291" s="3">
        <f>1480447047+1466127053</f>
        <v>2946574100</v>
      </c>
      <c r="T291" s="17"/>
      <c r="U291" s="8">
        <f t="shared" si="32"/>
        <v>54554780476</v>
      </c>
      <c r="V291" s="8">
        <v>28512494438</v>
      </c>
      <c r="W291" s="8"/>
      <c r="X291" s="8">
        <v>1114881956</v>
      </c>
      <c r="Y291" s="8"/>
      <c r="Z291" s="8">
        <v>1562389758</v>
      </c>
      <c r="AA291" s="8">
        <v>3347621571</v>
      </c>
      <c r="AB291" s="8"/>
      <c r="AC291" s="8">
        <f t="shared" si="33"/>
        <v>89092168199</v>
      </c>
      <c r="AD291" s="8">
        <v>21102926969</v>
      </c>
      <c r="AE291" s="8">
        <v>2041416074</v>
      </c>
      <c r="AF291" s="8"/>
      <c r="AG291" s="8">
        <v>1114881956</v>
      </c>
      <c r="AH291" s="8"/>
      <c r="AI291" s="8"/>
      <c r="AJ291" s="8">
        <v>1467952527</v>
      </c>
      <c r="AK291" s="8">
        <v>3704465834</v>
      </c>
      <c r="AL291" s="8"/>
      <c r="AM291" s="8"/>
      <c r="AN291" s="8">
        <f t="shared" si="39"/>
        <v>118523811559</v>
      </c>
      <c r="AO291" s="8">
        <f>25351621946+5256000000</f>
        <v>30607621946</v>
      </c>
      <c r="AP291" s="8">
        <v>2058850000</v>
      </c>
      <c r="AQ291" s="8"/>
      <c r="AR291" s="8">
        <v>1114881956</v>
      </c>
      <c r="AS291" s="8">
        <v>0</v>
      </c>
      <c r="AT291" s="8"/>
      <c r="AU291" s="8"/>
      <c r="AV291" s="8">
        <v>1467952527</v>
      </c>
      <c r="AW291" s="8">
        <v>2509130398</v>
      </c>
      <c r="AX291" s="8"/>
      <c r="AY291" s="8"/>
      <c r="AZ291" s="8"/>
      <c r="BA291" s="8"/>
      <c r="BB291" s="8"/>
      <c r="BC291" s="8">
        <f t="shared" si="34"/>
        <v>156282248386</v>
      </c>
      <c r="BD291" s="4">
        <v>156282248386</v>
      </c>
      <c r="BE291" s="4">
        <f t="shared" si="35"/>
        <v>0</v>
      </c>
      <c r="BF291" s="30">
        <f t="shared" si="36"/>
        <v>156282248386</v>
      </c>
      <c r="BG291" s="18">
        <f t="shared" si="37"/>
        <v>0</v>
      </c>
      <c r="BH291" s="23"/>
      <c r="BI291" s="14"/>
      <c r="BJ291" s="14"/>
      <c r="BK291" s="14"/>
      <c r="BL291" s="14"/>
      <c r="BM291" s="14"/>
      <c r="BN291" s="14"/>
    </row>
    <row r="292" spans="1:66" ht="15" customHeight="1" x14ac:dyDescent="0.2">
      <c r="A292" s="1">
        <v>8914800857</v>
      </c>
      <c r="B292" s="1">
        <v>891480085</v>
      </c>
      <c r="C292" s="15">
        <v>116666000</v>
      </c>
      <c r="D292" s="16" t="s">
        <v>31</v>
      </c>
      <c r="E292" s="53" t="s">
        <v>1057</v>
      </c>
      <c r="F292" s="28">
        <f>8270843670+233650029</f>
        <v>8504493699</v>
      </c>
      <c r="G292" s="17"/>
      <c r="H292" s="3">
        <v>544946956</v>
      </c>
      <c r="I292" s="17"/>
      <c r="J292" s="29">
        <v>541833500</v>
      </c>
      <c r="K292" s="3">
        <v>1090554298</v>
      </c>
      <c r="L292" s="17"/>
      <c r="M292" s="7">
        <f t="shared" si="40"/>
        <v>10681828453</v>
      </c>
      <c r="N292" s="3">
        <f>8217396241+106204559</f>
        <v>8323600800</v>
      </c>
      <c r="O292" s="17"/>
      <c r="P292" s="3">
        <f>VLOOKUP(A292,'[3]PENS-CANC'!A$2:B$37,2,0)</f>
        <v>544946956</v>
      </c>
      <c r="Q292" s="2"/>
      <c r="R292" s="3">
        <v>541833500</v>
      </c>
      <c r="S292" s="3">
        <f>548720798+541833500</f>
        <v>1090554298</v>
      </c>
      <c r="T292" s="17"/>
      <c r="U292" s="8">
        <f t="shared" si="32"/>
        <v>21182764007</v>
      </c>
      <c r="V292" s="8">
        <v>10326347839</v>
      </c>
      <c r="W292" s="8"/>
      <c r="X292" s="8">
        <v>544946956</v>
      </c>
      <c r="Y292" s="8"/>
      <c r="Z292" s="8">
        <v>539217768</v>
      </c>
      <c r="AA292" s="8">
        <v>1245248484</v>
      </c>
      <c r="AB292" s="8"/>
      <c r="AC292" s="8">
        <f t="shared" si="33"/>
        <v>33838525054</v>
      </c>
      <c r="AD292" s="8">
        <v>8197260768</v>
      </c>
      <c r="AE292" s="8">
        <v>1060888441</v>
      </c>
      <c r="AF292" s="8"/>
      <c r="AG292" s="8">
        <v>544946956</v>
      </c>
      <c r="AH292" s="8"/>
      <c r="AI292" s="8"/>
      <c r="AJ292" s="8">
        <v>562300938</v>
      </c>
      <c r="AK292" s="8">
        <v>1420128230</v>
      </c>
      <c r="AL292" s="8"/>
      <c r="AM292" s="8"/>
      <c r="AN292" s="8">
        <f t="shared" si="39"/>
        <v>45624050387</v>
      </c>
      <c r="AO292" s="8">
        <v>8197260768</v>
      </c>
      <c r="AP292" s="8"/>
      <c r="AQ292" s="8"/>
      <c r="AR292" s="8">
        <v>544946956</v>
      </c>
      <c r="AS292" s="8">
        <v>0</v>
      </c>
      <c r="AT292" s="8"/>
      <c r="AU292" s="8"/>
      <c r="AV292" s="8">
        <v>562300938</v>
      </c>
      <c r="AW292" s="8">
        <v>962738894</v>
      </c>
      <c r="AX292" s="8"/>
      <c r="AY292" s="8"/>
      <c r="AZ292" s="8"/>
      <c r="BA292" s="8"/>
      <c r="BB292" s="8"/>
      <c r="BC292" s="8">
        <f t="shared" si="34"/>
        <v>55891297943</v>
      </c>
      <c r="BD292" s="4">
        <v>55891297943</v>
      </c>
      <c r="BE292" s="4">
        <f t="shared" si="35"/>
        <v>0</v>
      </c>
      <c r="BF292" s="30">
        <f t="shared" si="36"/>
        <v>55891297943</v>
      </c>
      <c r="BG292" s="18">
        <f t="shared" si="37"/>
        <v>0</v>
      </c>
      <c r="BH292" s="23"/>
      <c r="BI292" s="14"/>
      <c r="BJ292" s="14"/>
      <c r="BK292" s="14"/>
      <c r="BL292" s="14"/>
      <c r="BM292" s="14"/>
      <c r="BN292" s="14"/>
    </row>
    <row r="293" spans="1:66" s="33" customFormat="1" ht="15" customHeight="1" x14ac:dyDescent="0.2">
      <c r="A293" s="1">
        <v>8924000382</v>
      </c>
      <c r="B293" s="1">
        <v>892400038</v>
      </c>
      <c r="C293" s="15">
        <v>118888000</v>
      </c>
      <c r="D293" s="16" t="s">
        <v>41</v>
      </c>
      <c r="E293" s="53" t="s">
        <v>1073</v>
      </c>
      <c r="F293" s="28">
        <v>1603078138</v>
      </c>
      <c r="G293" s="32"/>
      <c r="H293" s="3">
        <v>128164044</v>
      </c>
      <c r="I293" s="32"/>
      <c r="J293" s="29">
        <v>90549836</v>
      </c>
      <c r="K293" s="3">
        <v>180010776</v>
      </c>
      <c r="L293" s="32"/>
      <c r="M293" s="45">
        <f t="shared" si="40"/>
        <v>2001802794</v>
      </c>
      <c r="N293" s="3">
        <f>1541856776+7598020</f>
        <v>1549454796</v>
      </c>
      <c r="O293" s="32"/>
      <c r="P293" s="3">
        <f>VLOOKUP(A293,'[3]PENS-CANC'!A$2:B$37,2,0)</f>
        <v>128164044</v>
      </c>
      <c r="Q293" s="2"/>
      <c r="R293" s="3">
        <v>90549836</v>
      </c>
      <c r="S293" s="3">
        <f>89460940+90549836</f>
        <v>180010776</v>
      </c>
      <c r="T293" s="32"/>
      <c r="U293" s="8">
        <f t="shared" si="32"/>
        <v>3949982246</v>
      </c>
      <c r="V293" s="8">
        <v>2081442942</v>
      </c>
      <c r="W293" s="8"/>
      <c r="X293" s="8">
        <v>128164044</v>
      </c>
      <c r="Y293" s="8"/>
      <c r="Z293" s="8">
        <v>186678595</v>
      </c>
      <c r="AA293" s="8">
        <v>203249288</v>
      </c>
      <c r="AB293" s="8"/>
      <c r="AC293" s="8">
        <f t="shared" si="33"/>
        <v>6549517115</v>
      </c>
      <c r="AD293" s="8">
        <v>1478979931</v>
      </c>
      <c r="AE293" s="8">
        <v>138556857</v>
      </c>
      <c r="AF293" s="8"/>
      <c r="AG293" s="8">
        <v>128164044</v>
      </c>
      <c r="AH293" s="8"/>
      <c r="AI293" s="8"/>
      <c r="AJ293" s="8">
        <v>92052364</v>
      </c>
      <c r="AK293" s="8">
        <v>232762702</v>
      </c>
      <c r="AL293" s="8"/>
      <c r="AM293" s="8">
        <v>279437134</v>
      </c>
      <c r="AN293" s="8">
        <f t="shared" si="39"/>
        <v>8899470147</v>
      </c>
      <c r="AO293" s="8">
        <v>1478979931</v>
      </c>
      <c r="AP293" s="8"/>
      <c r="AQ293" s="8"/>
      <c r="AR293" s="8">
        <v>128164044</v>
      </c>
      <c r="AS293" s="8">
        <v>1683168466</v>
      </c>
      <c r="AT293" s="8"/>
      <c r="AU293" s="8"/>
      <c r="AV293" s="8">
        <v>92052364</v>
      </c>
      <c r="AW293" s="8">
        <v>157807690</v>
      </c>
      <c r="AX293" s="8"/>
      <c r="AY293" s="8">
        <v>310588310</v>
      </c>
      <c r="AZ293" s="8"/>
      <c r="BA293" s="8">
        <f>VLOOKUP(B293,[1]Hoja3!J$3:K$674,2,0)</f>
        <v>245152074</v>
      </c>
      <c r="BB293" s="8"/>
      <c r="BC293" s="8">
        <f t="shared" si="34"/>
        <v>12995383026</v>
      </c>
      <c r="BD293" s="4">
        <v>12470793818</v>
      </c>
      <c r="BE293" s="4">
        <f t="shared" si="35"/>
        <v>524589208</v>
      </c>
      <c r="BF293" s="30">
        <f t="shared" si="36"/>
        <v>12995383026</v>
      </c>
      <c r="BG293" s="18">
        <f t="shared" si="37"/>
        <v>0</v>
      </c>
      <c r="BH293" s="23"/>
      <c r="BI293" s="23"/>
      <c r="BJ293" s="23"/>
    </row>
    <row r="294" spans="1:66" ht="15" customHeight="1" x14ac:dyDescent="0.2">
      <c r="A294" s="1">
        <v>8902012356</v>
      </c>
      <c r="B294" s="1">
        <v>890201235</v>
      </c>
      <c r="C294" s="15">
        <v>116868000</v>
      </c>
      <c r="D294" s="16" t="s">
        <v>26</v>
      </c>
      <c r="E294" s="53" t="s">
        <v>1036</v>
      </c>
      <c r="F294" s="28">
        <v>29582757348</v>
      </c>
      <c r="G294" s="17"/>
      <c r="H294" s="3">
        <v>1555200516</v>
      </c>
      <c r="I294" s="17"/>
      <c r="J294" s="29">
        <v>1878454361</v>
      </c>
      <c r="K294" s="3">
        <v>3847392052</v>
      </c>
      <c r="L294" s="17"/>
      <c r="M294" s="7">
        <f t="shared" si="40"/>
        <v>36863804277</v>
      </c>
      <c r="N294" s="3">
        <f>29521877814+247390366</f>
        <v>29769268180</v>
      </c>
      <c r="O294" s="17"/>
      <c r="P294" s="3">
        <f>VLOOKUP(A294,'[3]PENS-CANC'!A$2:B$37,2,0)</f>
        <v>1555200516</v>
      </c>
      <c r="Q294" s="2"/>
      <c r="R294" s="3">
        <v>1878454361</v>
      </c>
      <c r="S294" s="3">
        <f>1968937691+1878454361</f>
        <v>3847392052</v>
      </c>
      <c r="T294" s="17"/>
      <c r="U294" s="8">
        <f t="shared" si="32"/>
        <v>73914119386</v>
      </c>
      <c r="V294" s="8">
        <v>35338913150</v>
      </c>
      <c r="W294" s="8"/>
      <c r="X294" s="8">
        <v>1555200516</v>
      </c>
      <c r="Y294" s="8"/>
      <c r="Z294" s="8">
        <v>1838730664</v>
      </c>
      <c r="AA294" s="8">
        <v>4116266879</v>
      </c>
      <c r="AB294" s="8"/>
      <c r="AC294" s="8">
        <f t="shared" si="33"/>
        <v>116763230595</v>
      </c>
      <c r="AD294" s="8">
        <v>28852022379</v>
      </c>
      <c r="AE294" s="8">
        <v>2487897359</v>
      </c>
      <c r="AF294" s="8"/>
      <c r="AG294" s="8">
        <v>1555200516</v>
      </c>
      <c r="AH294" s="8"/>
      <c r="AI294" s="8"/>
      <c r="AJ294" s="8">
        <v>1903281205</v>
      </c>
      <c r="AK294" s="8">
        <v>4803411743</v>
      </c>
      <c r="AL294" s="8"/>
      <c r="AM294" s="8"/>
      <c r="AN294" s="8">
        <f t="shared" si="39"/>
        <v>156365043797</v>
      </c>
      <c r="AO294" s="8">
        <v>28852022379</v>
      </c>
      <c r="AP294" s="8"/>
      <c r="AQ294" s="8"/>
      <c r="AR294" s="8">
        <v>1555200516</v>
      </c>
      <c r="AS294" s="8">
        <v>4509058973</v>
      </c>
      <c r="AT294" s="8"/>
      <c r="AU294" s="8"/>
      <c r="AV294" s="8">
        <v>1903281205</v>
      </c>
      <c r="AW294" s="8">
        <v>3255194255</v>
      </c>
      <c r="AX294" s="8"/>
      <c r="AY294" s="8"/>
      <c r="AZ294" s="8"/>
      <c r="BA294" s="8"/>
      <c r="BB294" s="8"/>
      <c r="BC294" s="8">
        <f t="shared" si="34"/>
        <v>196439801125</v>
      </c>
      <c r="BD294" s="4">
        <v>196439801125</v>
      </c>
      <c r="BE294" s="4">
        <f t="shared" si="35"/>
        <v>0</v>
      </c>
      <c r="BF294" s="30">
        <f t="shared" si="36"/>
        <v>196439801125</v>
      </c>
      <c r="BG294" s="18">
        <f t="shared" si="37"/>
        <v>0</v>
      </c>
      <c r="BH294" s="23"/>
      <c r="BI294" s="14"/>
      <c r="BJ294" s="14"/>
      <c r="BK294" s="14"/>
      <c r="BL294" s="14"/>
      <c r="BM294" s="14"/>
      <c r="BN294" s="14"/>
    </row>
    <row r="295" spans="1:66" ht="15" customHeight="1" x14ac:dyDescent="0.2">
      <c r="A295" s="1">
        <v>8922800211</v>
      </c>
      <c r="B295" s="1">
        <v>892280021</v>
      </c>
      <c r="C295" s="15">
        <v>117070000</v>
      </c>
      <c r="D295" s="16" t="s">
        <v>39</v>
      </c>
      <c r="E295" s="53" t="s">
        <v>1071</v>
      </c>
      <c r="F295" s="28">
        <v>23663229040</v>
      </c>
      <c r="G295" s="17"/>
      <c r="H295" s="3">
        <v>0</v>
      </c>
      <c r="I295" s="17"/>
      <c r="J295" s="29">
        <v>1699195260</v>
      </c>
      <c r="K295" s="3">
        <v>3462893803</v>
      </c>
      <c r="L295" s="17"/>
      <c r="M295" s="7">
        <f t="shared" si="40"/>
        <v>28825318103</v>
      </c>
      <c r="N295" s="3">
        <f>23318712352+124637160</f>
        <v>23443349512</v>
      </c>
      <c r="O295" s="17"/>
      <c r="P295" s="3">
        <f>VLOOKUP(A295,'[3]PENS-CANC'!A$2:B$37,2,0)</f>
        <v>0</v>
      </c>
      <c r="Q295" s="2"/>
      <c r="R295" s="3">
        <v>1700275806</v>
      </c>
      <c r="S295" s="3">
        <f>1763698543+1700275806</f>
        <v>3463974349</v>
      </c>
      <c r="T295" s="17"/>
      <c r="U295" s="8">
        <f t="shared" si="32"/>
        <v>57432917770</v>
      </c>
      <c r="V295" s="8">
        <v>28892409241</v>
      </c>
      <c r="W295" s="8"/>
      <c r="X295" s="8">
        <v>0</v>
      </c>
      <c r="Y295" s="8"/>
      <c r="Z295" s="8">
        <v>1476368389</v>
      </c>
      <c r="AA295" s="8">
        <v>3270024882</v>
      </c>
      <c r="AB295" s="8"/>
      <c r="AC295" s="8">
        <f t="shared" si="33"/>
        <v>91071720282</v>
      </c>
      <c r="AD295" s="8">
        <v>24071857622</v>
      </c>
      <c r="AE295" s="8">
        <v>1691866311</v>
      </c>
      <c r="AF295" s="8"/>
      <c r="AG295" s="8">
        <v>0</v>
      </c>
      <c r="AH295" s="8"/>
      <c r="AI295" s="8"/>
      <c r="AJ295" s="8">
        <v>1662158266</v>
      </c>
      <c r="AK295" s="8">
        <v>4197068183</v>
      </c>
      <c r="AL295" s="8"/>
      <c r="AM295" s="8"/>
      <c r="AN295" s="8">
        <f t="shared" si="39"/>
        <v>122694670664</v>
      </c>
      <c r="AO295" s="8">
        <v>24071857622</v>
      </c>
      <c r="AP295" s="8"/>
      <c r="AQ295" s="8"/>
      <c r="AR295" s="8"/>
      <c r="AS295" s="8">
        <v>1246034921</v>
      </c>
      <c r="AT295" s="8"/>
      <c r="AU295" s="8"/>
      <c r="AV295" s="8">
        <v>1662158266</v>
      </c>
      <c r="AW295" s="8">
        <v>2843743297</v>
      </c>
      <c r="AX295" s="8"/>
      <c r="AY295" s="8"/>
      <c r="AZ295" s="8"/>
      <c r="BA295" s="8"/>
      <c r="BB295" s="8"/>
      <c r="BC295" s="8">
        <f t="shared" si="34"/>
        <v>152518464770</v>
      </c>
      <c r="BD295" s="4">
        <v>152518464770</v>
      </c>
      <c r="BE295" s="4">
        <f t="shared" si="35"/>
        <v>0</v>
      </c>
      <c r="BF295" s="30">
        <f t="shared" si="36"/>
        <v>152518464770</v>
      </c>
      <c r="BG295" s="18">
        <f t="shared" si="37"/>
        <v>0</v>
      </c>
      <c r="BH295" s="23"/>
      <c r="BI295" s="14"/>
      <c r="BJ295" s="14"/>
      <c r="BK295" s="14"/>
      <c r="BL295" s="14"/>
      <c r="BM295" s="14"/>
      <c r="BN295" s="14"/>
    </row>
    <row r="296" spans="1:66" ht="15" customHeight="1" x14ac:dyDescent="0.2">
      <c r="A296" s="1">
        <v>8450000210</v>
      </c>
      <c r="B296" s="1">
        <v>845000021</v>
      </c>
      <c r="C296" s="15">
        <v>119797000</v>
      </c>
      <c r="D296" s="16" t="s">
        <v>22</v>
      </c>
      <c r="E296" s="53" t="s">
        <v>1031</v>
      </c>
      <c r="F296" s="28">
        <v>2590230017</v>
      </c>
      <c r="G296" s="17"/>
      <c r="H296" s="3">
        <v>9017382</v>
      </c>
      <c r="I296" s="17"/>
      <c r="J296" s="29">
        <v>72118750</v>
      </c>
      <c r="K296" s="3">
        <v>150052818</v>
      </c>
      <c r="L296" s="17"/>
      <c r="M296" s="7">
        <f t="shared" si="40"/>
        <v>2821418967</v>
      </c>
      <c r="N296" s="3">
        <f>1388507520+574622416</f>
        <v>1963129936</v>
      </c>
      <c r="O296" s="17"/>
      <c r="P296" s="3">
        <f>VLOOKUP(A296,'[3]PENS-CANC'!A$2:B$37,2,0)</f>
        <v>9017382</v>
      </c>
      <c r="Q296" s="2"/>
      <c r="R296" s="3">
        <v>72118750</v>
      </c>
      <c r="S296" s="3">
        <f>77934068+72118750</f>
        <v>150052818</v>
      </c>
      <c r="T296" s="17"/>
      <c r="U296" s="8">
        <f t="shared" si="32"/>
        <v>5015737853</v>
      </c>
      <c r="V296" s="8">
        <v>4382025637</v>
      </c>
      <c r="W296" s="8"/>
      <c r="X296" s="8">
        <v>9017382</v>
      </c>
      <c r="Y296" s="8"/>
      <c r="Z296" s="8">
        <v>68438824</v>
      </c>
      <c r="AA296" s="8">
        <v>153437537</v>
      </c>
      <c r="AB296" s="8"/>
      <c r="AC296" s="8">
        <f t="shared" si="33"/>
        <v>9628657233</v>
      </c>
      <c r="AD296" s="8">
        <v>1656941579</v>
      </c>
      <c r="AE296" s="8">
        <v>3407027936</v>
      </c>
      <c r="AF296" s="8"/>
      <c r="AG296" s="8">
        <v>9017382</v>
      </c>
      <c r="AH296" s="8"/>
      <c r="AI296" s="8"/>
      <c r="AJ296" s="8">
        <v>73545589</v>
      </c>
      <c r="AK296" s="8">
        <v>187662907</v>
      </c>
      <c r="AL296" s="8"/>
      <c r="AM296" s="8"/>
      <c r="AN296" s="8">
        <f t="shared" si="39"/>
        <v>14962852626</v>
      </c>
      <c r="AO296" s="8">
        <v>1656941579</v>
      </c>
      <c r="AP296" s="8"/>
      <c r="AQ296" s="8"/>
      <c r="AR296" s="8">
        <v>9017382</v>
      </c>
      <c r="AS296" s="8">
        <v>514858411</v>
      </c>
      <c r="AT296" s="8"/>
      <c r="AU296" s="8"/>
      <c r="AV296" s="8">
        <v>73545589</v>
      </c>
      <c r="AW296" s="8">
        <v>127761085</v>
      </c>
      <c r="AX296" s="8"/>
      <c r="AY296" s="8"/>
      <c r="AZ296" s="8"/>
      <c r="BA296" s="8"/>
      <c r="BB296" s="8"/>
      <c r="BC296" s="8">
        <f t="shared" si="34"/>
        <v>17344976672</v>
      </c>
      <c r="BD296" s="4">
        <v>17344976672</v>
      </c>
      <c r="BE296" s="4">
        <f t="shared" si="35"/>
        <v>0</v>
      </c>
      <c r="BF296" s="30">
        <f t="shared" si="36"/>
        <v>17344976672</v>
      </c>
      <c r="BG296" s="18">
        <f t="shared" si="37"/>
        <v>0</v>
      </c>
      <c r="BH296" s="23"/>
      <c r="BI296" s="14"/>
      <c r="BJ296" s="14"/>
      <c r="BK296" s="14"/>
      <c r="BL296" s="14"/>
      <c r="BM296" s="14"/>
      <c r="BN296" s="14"/>
    </row>
    <row r="297" spans="1:66" ht="15" customHeight="1" x14ac:dyDescent="0.2">
      <c r="A297" s="1">
        <v>8000940678</v>
      </c>
      <c r="B297" s="1">
        <v>800094067</v>
      </c>
      <c r="C297" s="15">
        <v>119999000</v>
      </c>
      <c r="D297" s="16" t="s">
        <v>12</v>
      </c>
      <c r="E297" s="53" t="s">
        <v>1012</v>
      </c>
      <c r="F297" s="28">
        <v>2455252586</v>
      </c>
      <c r="G297" s="17"/>
      <c r="H297" s="3">
        <v>22666318</v>
      </c>
      <c r="I297" s="17"/>
      <c r="J297" s="29">
        <v>117283074</v>
      </c>
      <c r="K297" s="3">
        <v>243865076</v>
      </c>
      <c r="L297" s="17"/>
      <c r="M297" s="7">
        <f t="shared" si="40"/>
        <v>2839067054</v>
      </c>
      <c r="N297" s="3">
        <f>2077251369+221896409</f>
        <v>2299147778</v>
      </c>
      <c r="O297" s="17"/>
      <c r="P297" s="3">
        <f>VLOOKUP(A297,'[3]PENS-CANC'!A$2:B$37,2,0)</f>
        <v>22666318</v>
      </c>
      <c r="Q297" s="2"/>
      <c r="R297" s="3">
        <v>117283074</v>
      </c>
      <c r="S297" s="3">
        <f>126582002+117283074</f>
        <v>243865076</v>
      </c>
      <c r="T297" s="17"/>
      <c r="U297" s="8">
        <f t="shared" si="32"/>
        <v>5522029300</v>
      </c>
      <c r="V297" s="8">
        <v>4112466693</v>
      </c>
      <c r="W297" s="8"/>
      <c r="X297" s="8">
        <v>22666318</v>
      </c>
      <c r="Y297" s="8"/>
      <c r="Z297" s="8">
        <v>102680129</v>
      </c>
      <c r="AA297" s="8">
        <v>232382042</v>
      </c>
      <c r="AB297" s="8"/>
      <c r="AC297" s="8">
        <f t="shared" si="33"/>
        <v>9992224482</v>
      </c>
      <c r="AD297" s="8">
        <v>2324094665</v>
      </c>
      <c r="AE297" s="8">
        <v>2869869560</v>
      </c>
      <c r="AF297" s="8"/>
      <c r="AG297" s="8">
        <v>22666318</v>
      </c>
      <c r="AH297" s="8"/>
      <c r="AI297" s="8"/>
      <c r="AJ297" s="8">
        <v>115265460</v>
      </c>
      <c r="AK297" s="8">
        <v>295169843</v>
      </c>
      <c r="AL297" s="8"/>
      <c r="AM297" s="8"/>
      <c r="AN297" s="8">
        <f t="shared" si="39"/>
        <v>15619290328</v>
      </c>
      <c r="AO297" s="8">
        <v>2324094665</v>
      </c>
      <c r="AP297" s="8"/>
      <c r="AQ297" s="8"/>
      <c r="AR297" s="8">
        <v>22666318</v>
      </c>
      <c r="AS297" s="8">
        <v>1236598635</v>
      </c>
      <c r="AT297" s="8"/>
      <c r="AU297" s="8"/>
      <c r="AV297" s="8">
        <v>115265460</v>
      </c>
      <c r="AW297" s="8">
        <v>201267861</v>
      </c>
      <c r="AX297" s="8"/>
      <c r="AY297" s="8"/>
      <c r="AZ297" s="8"/>
      <c r="BA297" s="8"/>
      <c r="BB297" s="8"/>
      <c r="BC297" s="8">
        <f t="shared" si="34"/>
        <v>19519183267</v>
      </c>
      <c r="BD297" s="4">
        <v>19519183267</v>
      </c>
      <c r="BE297" s="4">
        <f t="shared" si="35"/>
        <v>0</v>
      </c>
      <c r="BF297" s="30">
        <f t="shared" si="36"/>
        <v>19519183267</v>
      </c>
      <c r="BG297" s="18">
        <f t="shared" si="37"/>
        <v>0</v>
      </c>
      <c r="BH297" s="23"/>
      <c r="BI297" s="14"/>
      <c r="BJ297" s="14"/>
      <c r="BK297" s="14"/>
      <c r="BL297" s="14"/>
      <c r="BM297" s="14"/>
      <c r="BN297" s="14"/>
    </row>
    <row r="298" spans="1:66" ht="15" customHeight="1" x14ac:dyDescent="0.2">
      <c r="A298" s="1">
        <v>8999993369</v>
      </c>
      <c r="B298" s="1">
        <v>899999336</v>
      </c>
      <c r="C298" s="15">
        <v>119191000</v>
      </c>
      <c r="D298" s="16" t="s">
        <v>2195</v>
      </c>
      <c r="E298" s="53" t="s">
        <v>1075</v>
      </c>
      <c r="F298" s="28">
        <v>2989940179</v>
      </c>
      <c r="G298" s="2"/>
      <c r="H298" s="3">
        <v>0</v>
      </c>
      <c r="I298" s="2"/>
      <c r="J298" s="29">
        <v>154800974</v>
      </c>
      <c r="K298" s="3">
        <v>317610055</v>
      </c>
      <c r="L298" s="2"/>
      <c r="M298" s="37">
        <f t="shared" si="40"/>
        <v>3462351208</v>
      </c>
      <c r="N298" s="3">
        <f>2630020993+201955476</f>
        <v>2831976469</v>
      </c>
      <c r="O298" s="2"/>
      <c r="P298" s="3">
        <f>VLOOKUP(A298,'[3]PENS-CANC'!A$2:B$37,2,0)</f>
        <v>0</v>
      </c>
      <c r="Q298" s="2"/>
      <c r="R298" s="3">
        <v>155119255</v>
      </c>
      <c r="S298" s="3">
        <f>162809081+155119255</f>
        <v>317928336</v>
      </c>
      <c r="T298" s="2"/>
      <c r="U298" s="8">
        <f t="shared" si="32"/>
        <v>6767375268</v>
      </c>
      <c r="V298" s="8">
        <v>4813138767</v>
      </c>
      <c r="W298" s="8"/>
      <c r="X298" s="8">
        <v>0</v>
      </c>
      <c r="Y298" s="8"/>
      <c r="Z298" s="8">
        <v>138033604</v>
      </c>
      <c r="AA298" s="8">
        <v>318191755</v>
      </c>
      <c r="AB298" s="8"/>
      <c r="AC298" s="8">
        <f t="shared" si="33"/>
        <v>12036739394</v>
      </c>
      <c r="AD298" s="8">
        <v>2761977644</v>
      </c>
      <c r="AE298" s="8">
        <v>1565589793</v>
      </c>
      <c r="AF298" s="8"/>
      <c r="AG298" s="8">
        <v>0</v>
      </c>
      <c r="AH298" s="8"/>
      <c r="AI298" s="8"/>
      <c r="AJ298" s="8">
        <v>152681034</v>
      </c>
      <c r="AK298" s="8">
        <v>389162668</v>
      </c>
      <c r="AL298" s="8"/>
      <c r="AM298" s="8">
        <v>233476594</v>
      </c>
      <c r="AN298" s="8">
        <f t="shared" si="39"/>
        <v>17139627127</v>
      </c>
      <c r="AO298" s="8">
        <v>2761977644</v>
      </c>
      <c r="AP298" s="8"/>
      <c r="AQ298" s="8"/>
      <c r="AR298" s="8"/>
      <c r="AS298" s="8"/>
      <c r="AT298" s="8"/>
      <c r="AU298" s="8"/>
      <c r="AV298" s="8">
        <v>152681034</v>
      </c>
      <c r="AW298" s="8">
        <v>264802876</v>
      </c>
      <c r="AX298" s="8"/>
      <c r="AY298" s="8">
        <v>198030070</v>
      </c>
      <c r="AZ298" s="8"/>
      <c r="BA298" s="8"/>
      <c r="BB298" s="8"/>
      <c r="BC298" s="8">
        <f t="shared" si="34"/>
        <v>20517118751</v>
      </c>
      <c r="BD298" s="4">
        <v>20283642157</v>
      </c>
      <c r="BE298" s="4">
        <f t="shared" si="35"/>
        <v>233476594</v>
      </c>
      <c r="BF298" s="30">
        <f t="shared" si="36"/>
        <v>20517118751</v>
      </c>
      <c r="BG298" s="18">
        <f t="shared" si="37"/>
        <v>0</v>
      </c>
      <c r="BH298" s="23"/>
      <c r="BI298" s="23"/>
      <c r="BJ298" s="23"/>
    </row>
    <row r="299" spans="1:66" ht="15" customHeight="1" x14ac:dyDescent="0.2">
      <c r="A299" s="1">
        <v>8901020061</v>
      </c>
      <c r="B299" s="1">
        <v>890102006</v>
      </c>
      <c r="C299" s="15">
        <v>110808000</v>
      </c>
      <c r="D299" s="16" t="s">
        <v>24</v>
      </c>
      <c r="E299" s="53" t="s">
        <v>1034</v>
      </c>
      <c r="F299" s="28">
        <v>15333846164</v>
      </c>
      <c r="G299" s="17"/>
      <c r="H299" s="3">
        <v>1116272390</v>
      </c>
      <c r="I299" s="17"/>
      <c r="J299" s="29">
        <v>1077543108</v>
      </c>
      <c r="K299" s="3">
        <v>2145223656</v>
      </c>
      <c r="L299" s="17"/>
      <c r="M299" s="7">
        <f t="shared" si="40"/>
        <v>19672885318</v>
      </c>
      <c r="N299" s="3">
        <f>14377416609+145306637</f>
        <v>14522723246</v>
      </c>
      <c r="O299" s="17"/>
      <c r="P299" s="3">
        <f>VLOOKUP(A299,'[3]PENS-CANC'!A$2:B$37,2,0)</f>
        <v>1116272390</v>
      </c>
      <c r="Q299" s="2"/>
      <c r="R299" s="3">
        <v>1077902818</v>
      </c>
      <c r="S299" s="3">
        <f>1067680548+1077902818</f>
        <v>2145583366</v>
      </c>
      <c r="T299" s="17"/>
      <c r="U299" s="8">
        <f t="shared" si="32"/>
        <v>38535367138</v>
      </c>
      <c r="V299" s="8">
        <v>28223885592</v>
      </c>
      <c r="W299" s="8"/>
      <c r="X299" s="8">
        <v>1116272390</v>
      </c>
      <c r="Y299" s="8"/>
      <c r="Z299" s="8">
        <v>1039825826</v>
      </c>
      <c r="AA299" s="8">
        <v>2322321627</v>
      </c>
      <c r="AB299" s="8"/>
      <c r="AC299" s="8">
        <f t="shared" si="33"/>
        <v>71237672573</v>
      </c>
      <c r="AD299" s="8">
        <v>15309755104</v>
      </c>
      <c r="AE299" s="8">
        <v>1613391017</v>
      </c>
      <c r="AF299" s="8"/>
      <c r="AG299" s="8">
        <v>1116272390</v>
      </c>
      <c r="AH299" s="8"/>
      <c r="AI299" s="8"/>
      <c r="AJ299" s="8">
        <v>1079122421</v>
      </c>
      <c r="AK299" s="8">
        <v>2722776520</v>
      </c>
      <c r="AL299" s="8"/>
      <c r="AM299" s="8"/>
      <c r="AN299" s="8">
        <f t="shared" si="39"/>
        <v>93078990025</v>
      </c>
      <c r="AO299" s="8">
        <v>15309755104</v>
      </c>
      <c r="AP299" s="8"/>
      <c r="AQ299" s="8"/>
      <c r="AR299" s="8">
        <v>1116272390</v>
      </c>
      <c r="AS299" s="8">
        <v>488341796</v>
      </c>
      <c r="AT299" s="8"/>
      <c r="AU299" s="8"/>
      <c r="AV299" s="8">
        <v>1079122421</v>
      </c>
      <c r="AW299" s="8">
        <v>1844481984</v>
      </c>
      <c r="AX299" s="8"/>
      <c r="AY299" s="8"/>
      <c r="AZ299" s="8"/>
      <c r="BA299" s="8"/>
      <c r="BB299" s="8"/>
      <c r="BC299" s="8">
        <f t="shared" si="34"/>
        <v>112916963720</v>
      </c>
      <c r="BD299" s="4">
        <v>112916963720</v>
      </c>
      <c r="BE299" s="4">
        <f t="shared" si="35"/>
        <v>0</v>
      </c>
      <c r="BF299" s="30">
        <f t="shared" si="36"/>
        <v>112916963720</v>
      </c>
      <c r="BG299" s="18">
        <f t="shared" si="37"/>
        <v>0</v>
      </c>
      <c r="BH299" s="23"/>
      <c r="BI299" s="14"/>
      <c r="BJ299" s="14"/>
      <c r="BK299" s="14"/>
      <c r="BL299" s="14"/>
      <c r="BM299" s="14"/>
      <c r="BN299" s="14"/>
    </row>
    <row r="300" spans="1:66" ht="15" customHeight="1" x14ac:dyDescent="0.2">
      <c r="A300" s="1">
        <v>8000915944</v>
      </c>
      <c r="B300" s="1">
        <v>800091594</v>
      </c>
      <c r="C300" s="15">
        <v>111818000</v>
      </c>
      <c r="D300" s="16" t="s">
        <v>11</v>
      </c>
      <c r="E300" s="53" t="s">
        <v>1011</v>
      </c>
      <c r="F300" s="28">
        <v>10466480026</v>
      </c>
      <c r="G300" s="17"/>
      <c r="H300" s="3">
        <v>0</v>
      </c>
      <c r="I300" s="17"/>
      <c r="J300" s="29">
        <v>653090813</v>
      </c>
      <c r="K300" s="3">
        <v>1343451736</v>
      </c>
      <c r="L300" s="17"/>
      <c r="M300" s="7">
        <f t="shared" si="40"/>
        <v>12463022575</v>
      </c>
      <c r="N300" s="3">
        <f>9907190945+403583334</f>
        <v>10310774279</v>
      </c>
      <c r="O300" s="17"/>
      <c r="P300" s="3">
        <f>VLOOKUP(A300,'[3]PENS-CANC'!A$2:B$37,2,0)</f>
        <v>0</v>
      </c>
      <c r="Q300" s="2"/>
      <c r="R300" s="3">
        <v>653090813</v>
      </c>
      <c r="S300" s="3">
        <f>690360923+653090813</f>
        <v>1343451736</v>
      </c>
      <c r="T300" s="17"/>
      <c r="U300" s="8">
        <f t="shared" si="32"/>
        <v>24770339403</v>
      </c>
      <c r="V300" s="8">
        <v>13380286932</v>
      </c>
      <c r="W300" s="8"/>
      <c r="X300" s="8">
        <v>0</v>
      </c>
      <c r="Y300" s="8"/>
      <c r="Z300" s="8">
        <v>673922874</v>
      </c>
      <c r="AA300" s="8">
        <v>1480293835</v>
      </c>
      <c r="AB300" s="8"/>
      <c r="AC300" s="8">
        <f t="shared" si="33"/>
        <v>40304843044</v>
      </c>
      <c r="AD300" s="8">
        <v>9829558062</v>
      </c>
      <c r="AE300" s="8">
        <v>3159394335</v>
      </c>
      <c r="AF300" s="8"/>
      <c r="AG300" s="8">
        <v>0</v>
      </c>
      <c r="AH300" s="8"/>
      <c r="AI300" s="8"/>
      <c r="AJ300" s="8">
        <v>670430893</v>
      </c>
      <c r="AK300" s="8">
        <v>1700243451</v>
      </c>
      <c r="AL300" s="8"/>
      <c r="AM300" s="8"/>
      <c r="AN300" s="8">
        <f t="shared" si="39"/>
        <v>55664469785</v>
      </c>
      <c r="AO300" s="8">
        <v>9829558062</v>
      </c>
      <c r="AP300" s="8"/>
      <c r="AQ300" s="8"/>
      <c r="AR300" s="8"/>
      <c r="AS300" s="8">
        <v>300000000</v>
      </c>
      <c r="AT300" s="8"/>
      <c r="AU300" s="8"/>
      <c r="AV300" s="8">
        <v>670430893</v>
      </c>
      <c r="AW300" s="8">
        <v>1154656861</v>
      </c>
      <c r="AX300" s="8"/>
      <c r="AY300" s="8"/>
      <c r="AZ300" s="8"/>
      <c r="BA300" s="8"/>
      <c r="BB300" s="8"/>
      <c r="BC300" s="8">
        <f t="shared" si="34"/>
        <v>67619115601</v>
      </c>
      <c r="BD300" s="4">
        <v>67619115601</v>
      </c>
      <c r="BE300" s="4">
        <f t="shared" si="35"/>
        <v>0</v>
      </c>
      <c r="BF300" s="30">
        <f t="shared" si="36"/>
        <v>67619115601</v>
      </c>
      <c r="BG300" s="18">
        <f t="shared" si="37"/>
        <v>0</v>
      </c>
      <c r="BH300" s="23"/>
      <c r="BI300" s="14"/>
      <c r="BJ300" s="14"/>
      <c r="BK300" s="14"/>
      <c r="BL300" s="14"/>
      <c r="BM300" s="14"/>
      <c r="BN300" s="14"/>
    </row>
    <row r="301" spans="1:66" ht="15" customHeight="1" x14ac:dyDescent="0.2">
      <c r="A301" s="1">
        <v>8915800168</v>
      </c>
      <c r="B301" s="1">
        <v>891580016</v>
      </c>
      <c r="C301" s="15">
        <v>111919000</v>
      </c>
      <c r="D301" s="16" t="s">
        <v>32</v>
      </c>
      <c r="E301" s="52" t="s">
        <v>2255</v>
      </c>
      <c r="F301" s="28">
        <v>34751988507</v>
      </c>
      <c r="G301" s="17"/>
      <c r="H301" s="3">
        <v>837384827</v>
      </c>
      <c r="I301" s="17"/>
      <c r="J301" s="29">
        <v>2386597062</v>
      </c>
      <c r="K301" s="3">
        <v>4938873270</v>
      </c>
      <c r="L301" s="17"/>
      <c r="M301" s="7">
        <f t="shared" si="40"/>
        <v>42914843666</v>
      </c>
      <c r="N301" s="3">
        <f>35152235975+37153496682</f>
        <v>72305732657</v>
      </c>
      <c r="O301" s="17"/>
      <c r="P301" s="3">
        <f>VLOOKUP(A301,'[3]PENS-CANC'!A$2:B$37,2,0)</f>
        <v>837384827</v>
      </c>
      <c r="Q301" s="2"/>
      <c r="R301" s="3">
        <v>2387792429</v>
      </c>
      <c r="S301" s="3">
        <f>2552276208+2387792429</f>
        <v>4940068637</v>
      </c>
      <c r="T301" s="17"/>
      <c r="U301" s="8">
        <f t="shared" si="32"/>
        <v>123385822216</v>
      </c>
      <c r="V301" s="8">
        <v>54484532435</v>
      </c>
      <c r="W301" s="8"/>
      <c r="X301" s="8">
        <v>837384827</v>
      </c>
      <c r="Y301" s="8"/>
      <c r="Z301" s="8">
        <v>2324376303</v>
      </c>
      <c r="AA301" s="8">
        <v>4999246440</v>
      </c>
      <c r="AB301" s="8"/>
      <c r="AC301" s="8">
        <f t="shared" si="33"/>
        <v>186031362221</v>
      </c>
      <c r="AD301" s="8">
        <v>35684154502</v>
      </c>
      <c r="AE301" s="8">
        <v>5467289320</v>
      </c>
      <c r="AF301" s="8"/>
      <c r="AG301" s="8">
        <v>837384827</v>
      </c>
      <c r="AH301" s="8"/>
      <c r="AI301" s="8"/>
      <c r="AJ301" s="8">
        <v>2421546804</v>
      </c>
      <c r="AK301" s="8">
        <v>6123350783</v>
      </c>
      <c r="AL301" s="8"/>
      <c r="AM301" s="8"/>
      <c r="AN301" s="8">
        <f t="shared" si="39"/>
        <v>236565088457</v>
      </c>
      <c r="AO301" s="8">
        <v>35684154502</v>
      </c>
      <c r="AP301" s="8"/>
      <c r="AQ301" s="8"/>
      <c r="AR301" s="8">
        <v>837384827</v>
      </c>
      <c r="AS301" s="8">
        <v>0</v>
      </c>
      <c r="AT301" s="8"/>
      <c r="AU301" s="8"/>
      <c r="AV301" s="8">
        <v>2421546804</v>
      </c>
      <c r="AW301" s="8">
        <v>4151376001</v>
      </c>
      <c r="AX301" s="8"/>
      <c r="AY301" s="8"/>
      <c r="AZ301" s="8"/>
      <c r="BA301" s="8"/>
      <c r="BB301" s="8"/>
      <c r="BC301" s="8">
        <f t="shared" si="34"/>
        <v>279659550591</v>
      </c>
      <c r="BD301" s="4">
        <v>279659550591</v>
      </c>
      <c r="BE301" s="4">
        <f t="shared" si="35"/>
        <v>0</v>
      </c>
      <c r="BF301" s="30">
        <f t="shared" si="36"/>
        <v>279659550591</v>
      </c>
      <c r="BG301" s="18">
        <f t="shared" si="37"/>
        <v>0</v>
      </c>
      <c r="BH301" s="23"/>
      <c r="BI301" s="14"/>
      <c r="BJ301" s="14"/>
      <c r="BK301" s="14"/>
      <c r="BL301" s="14"/>
      <c r="BM301" s="14"/>
      <c r="BN301" s="14"/>
    </row>
    <row r="302" spans="1:66" ht="15" customHeight="1" x14ac:dyDescent="0.2">
      <c r="A302" s="1">
        <v>8923999991</v>
      </c>
      <c r="B302" s="1">
        <v>892399999</v>
      </c>
      <c r="C302" s="15">
        <v>112020000</v>
      </c>
      <c r="D302" s="16" t="s">
        <v>40</v>
      </c>
      <c r="E302" s="53" t="s">
        <v>1072</v>
      </c>
      <c r="F302" s="28">
        <v>20609936511</v>
      </c>
      <c r="G302" s="17"/>
      <c r="H302" s="3">
        <v>227779843</v>
      </c>
      <c r="I302" s="17"/>
      <c r="J302" s="29">
        <v>1455901023</v>
      </c>
      <c r="K302" s="3">
        <v>2935720813</v>
      </c>
      <c r="L302" s="17"/>
      <c r="M302" s="7">
        <f t="shared" si="40"/>
        <v>25229338190</v>
      </c>
      <c r="N302" s="3">
        <f>19916711657+163651457</f>
        <v>20080363114</v>
      </c>
      <c r="O302" s="17"/>
      <c r="P302" s="3">
        <f>VLOOKUP(A302,'[3]PENS-CANC'!A$2:B$37,2,0)</f>
        <v>227779843</v>
      </c>
      <c r="Q302" s="2"/>
      <c r="R302" s="3">
        <v>1456073652</v>
      </c>
      <c r="S302" s="3">
        <f>1456073652+1479819790</f>
        <v>2935893442</v>
      </c>
      <c r="T302" s="17"/>
      <c r="U302" s="8">
        <f t="shared" si="32"/>
        <v>49929448241</v>
      </c>
      <c r="V302" s="8">
        <v>32778626939</v>
      </c>
      <c r="W302" s="8"/>
      <c r="X302" s="8">
        <v>227779843</v>
      </c>
      <c r="Y302" s="8"/>
      <c r="Z302" s="8">
        <v>1321842753</v>
      </c>
      <c r="AA302" s="8">
        <v>2998428406</v>
      </c>
      <c r="AB302" s="8"/>
      <c r="AC302" s="8">
        <f t="shared" si="33"/>
        <v>87256126182</v>
      </c>
      <c r="AD302" s="8">
        <v>20393902994</v>
      </c>
      <c r="AE302" s="8">
        <v>2049981265</v>
      </c>
      <c r="AF302" s="8"/>
      <c r="AG302" s="8">
        <v>227779843</v>
      </c>
      <c r="AH302" s="8"/>
      <c r="AI302" s="8"/>
      <c r="AJ302" s="8">
        <v>1443735016</v>
      </c>
      <c r="AK302" s="8">
        <v>3648235319</v>
      </c>
      <c r="AL302" s="8"/>
      <c r="AM302" s="8"/>
      <c r="AN302" s="8">
        <f t="shared" si="39"/>
        <v>115019760619</v>
      </c>
      <c r="AO302" s="8">
        <v>20393902994</v>
      </c>
      <c r="AP302" s="8"/>
      <c r="AQ302" s="8"/>
      <c r="AR302" s="8">
        <v>227779843</v>
      </c>
      <c r="AS302" s="8">
        <v>0</v>
      </c>
      <c r="AT302" s="8"/>
      <c r="AU302" s="8"/>
      <c r="AV302" s="8">
        <v>1443735016</v>
      </c>
      <c r="AW302" s="8">
        <v>2472784615</v>
      </c>
      <c r="AX302" s="8"/>
      <c r="AY302" s="8"/>
      <c r="AZ302" s="8"/>
      <c r="BA302" s="8"/>
      <c r="BB302" s="8"/>
      <c r="BC302" s="8">
        <f t="shared" si="34"/>
        <v>139557963087</v>
      </c>
      <c r="BD302" s="4">
        <v>139557963087</v>
      </c>
      <c r="BE302" s="4">
        <f t="shared" si="35"/>
        <v>0</v>
      </c>
      <c r="BF302" s="30">
        <f t="shared" si="36"/>
        <v>139557963087</v>
      </c>
      <c r="BG302" s="18">
        <f t="shared" si="37"/>
        <v>0</v>
      </c>
      <c r="BH302" s="23"/>
      <c r="BI302" s="14"/>
      <c r="BJ302" s="14"/>
      <c r="BK302" s="14"/>
      <c r="BL302" s="14"/>
      <c r="BM302" s="14"/>
      <c r="BN302" s="14"/>
    </row>
    <row r="303" spans="1:66" ht="15" customHeight="1" x14ac:dyDescent="0.2">
      <c r="A303" s="1">
        <v>8916800103</v>
      </c>
      <c r="B303" s="1">
        <v>891680010</v>
      </c>
      <c r="C303" s="15">
        <v>112727000</v>
      </c>
      <c r="D303" s="16" t="s">
        <v>33</v>
      </c>
      <c r="E303" s="52" t="s">
        <v>1058</v>
      </c>
      <c r="F303" s="28">
        <f>12904248264+194066399</f>
        <v>13098314663</v>
      </c>
      <c r="G303" s="17"/>
      <c r="H303" s="3">
        <v>591168652</v>
      </c>
      <c r="I303" s="17"/>
      <c r="J303" s="29">
        <v>925389047</v>
      </c>
      <c r="K303" s="3">
        <v>1904014514</v>
      </c>
      <c r="L303" s="17"/>
      <c r="M303" s="7">
        <f t="shared" si="40"/>
        <v>16518886876</v>
      </c>
      <c r="N303" s="3">
        <f>13285880819+88211999</f>
        <v>13374092818</v>
      </c>
      <c r="O303" s="17"/>
      <c r="P303" s="3">
        <f>VLOOKUP(A303,'[3]PENS-CANC'!A$2:B$37,2,0)</f>
        <v>591168652</v>
      </c>
      <c r="Q303" s="2"/>
      <c r="R303" s="3">
        <v>925389047</v>
      </c>
      <c r="S303" s="3">
        <f>978625467+925389047</f>
        <v>1904014514</v>
      </c>
      <c r="T303" s="17"/>
      <c r="U303" s="8">
        <f t="shared" si="32"/>
        <v>33313551907</v>
      </c>
      <c r="V303" s="8">
        <f>31862520757+82344090</f>
        <v>31944864847</v>
      </c>
      <c r="W303" s="8"/>
      <c r="X303" s="8">
        <v>591168652</v>
      </c>
      <c r="Y303" s="8"/>
      <c r="Z303" s="8">
        <v>1061658676</v>
      </c>
      <c r="AA303" s="8">
        <v>1842885716</v>
      </c>
      <c r="AB303" s="8"/>
      <c r="AC303" s="8">
        <f t="shared" si="33"/>
        <v>68754129798</v>
      </c>
      <c r="AD303" s="8">
        <v>13508061327</v>
      </c>
      <c r="AE303" s="8">
        <v>1247422025</v>
      </c>
      <c r="AF303" s="8"/>
      <c r="AG303" s="8">
        <v>591168652</v>
      </c>
      <c r="AH303" s="8"/>
      <c r="AI303" s="8"/>
      <c r="AJ303" s="8">
        <v>908942595</v>
      </c>
      <c r="AK303" s="8">
        <v>2302220444</v>
      </c>
      <c r="AL303" s="8"/>
      <c r="AM303" s="8"/>
      <c r="AN303" s="8">
        <f t="shared" si="39"/>
        <v>87311944841</v>
      </c>
      <c r="AO303" s="8">
        <f>13508061327</f>
        <v>13508061327</v>
      </c>
      <c r="AP303" s="8">
        <f>3797000000+5764000000</f>
        <v>9561000000</v>
      </c>
      <c r="AQ303" s="8"/>
      <c r="AR303" s="8">
        <v>591168652</v>
      </c>
      <c r="AS303" s="8">
        <v>0</v>
      </c>
      <c r="AT303" s="8"/>
      <c r="AU303" s="8"/>
      <c r="AV303" s="8">
        <v>908942595</v>
      </c>
      <c r="AW303" s="8">
        <v>1562086788</v>
      </c>
      <c r="AX303" s="8"/>
      <c r="AY303" s="8"/>
      <c r="AZ303" s="8"/>
      <c r="BA303" s="8"/>
      <c r="BB303" s="8"/>
      <c r="BC303" s="8">
        <f t="shared" si="34"/>
        <v>113443204203</v>
      </c>
      <c r="BD303" s="4">
        <v>113443204203</v>
      </c>
      <c r="BE303" s="4">
        <f t="shared" si="35"/>
        <v>0</v>
      </c>
      <c r="BF303" s="30">
        <f t="shared" si="36"/>
        <v>113443204203</v>
      </c>
      <c r="BG303" s="18">
        <f t="shared" si="37"/>
        <v>0</v>
      </c>
      <c r="BH303" s="23"/>
      <c r="BI303" s="14"/>
      <c r="BJ303" s="14"/>
      <c r="BK303" s="14"/>
      <c r="BL303" s="14"/>
      <c r="BM303" s="14"/>
      <c r="BN303" s="14"/>
    </row>
    <row r="304" spans="1:66" ht="15" customHeight="1" x14ac:dyDescent="0.2">
      <c r="A304" s="1">
        <v>8001039134</v>
      </c>
      <c r="B304" s="1">
        <v>800103913</v>
      </c>
      <c r="C304" s="15">
        <v>114141000</v>
      </c>
      <c r="D304" s="16" t="s">
        <v>16</v>
      </c>
      <c r="E304" s="53" t="s">
        <v>1023</v>
      </c>
      <c r="F304" s="28">
        <v>20047120505</v>
      </c>
      <c r="G304" s="17"/>
      <c r="H304" s="3">
        <v>537128221</v>
      </c>
      <c r="I304" s="17"/>
      <c r="J304" s="29">
        <v>1425443195</v>
      </c>
      <c r="K304" s="3">
        <v>2908620605</v>
      </c>
      <c r="L304" s="17"/>
      <c r="M304" s="7">
        <f t="shared" si="40"/>
        <v>24918312526</v>
      </c>
      <c r="N304" s="3">
        <f>20136368336+438306238</f>
        <v>20574674574</v>
      </c>
      <c r="O304" s="17"/>
      <c r="P304" s="3">
        <f>VLOOKUP(A304,'[3]PENS-CANC'!A$2:B$37,2,0)</f>
        <v>537128221</v>
      </c>
      <c r="Q304" s="2"/>
      <c r="R304" s="3">
        <v>1298800320</v>
      </c>
      <c r="S304" s="3">
        <f>1483177410+1425443195</f>
        <v>2908620605</v>
      </c>
      <c r="T304" s="17"/>
      <c r="U304" s="8">
        <f t="shared" si="32"/>
        <v>50237536246</v>
      </c>
      <c r="V304" s="8">
        <v>29352497114</v>
      </c>
      <c r="W304" s="8"/>
      <c r="X304" s="8">
        <v>537128221</v>
      </c>
      <c r="Y304" s="8"/>
      <c r="Z304" s="8">
        <v>2116822590</v>
      </c>
      <c r="AA304" s="8">
        <v>3241357152</v>
      </c>
      <c r="AB304" s="8"/>
      <c r="AC304" s="8">
        <f t="shared" si="33"/>
        <v>85485341323</v>
      </c>
      <c r="AD304" s="8">
        <v>20978520523</v>
      </c>
      <c r="AE304" s="8">
        <v>1846533410</v>
      </c>
      <c r="AF304" s="8"/>
      <c r="AG304" s="8">
        <v>537128221</v>
      </c>
      <c r="AH304" s="8"/>
      <c r="AI304" s="8"/>
      <c r="AJ304" s="8">
        <v>1453290250</v>
      </c>
      <c r="AK304" s="8">
        <v>3666965524</v>
      </c>
      <c r="AL304" s="8"/>
      <c r="AM304" s="8"/>
      <c r="AN304" s="8">
        <f t="shared" si="39"/>
        <v>113967779251</v>
      </c>
      <c r="AO304" s="8">
        <v>20978520523</v>
      </c>
      <c r="AP304" s="8"/>
      <c r="AQ304" s="8"/>
      <c r="AR304" s="8">
        <v>537128221</v>
      </c>
      <c r="AS304" s="8">
        <v>0</v>
      </c>
      <c r="AT304" s="8"/>
      <c r="AU304" s="8"/>
      <c r="AV304" s="8">
        <v>1453290250</v>
      </c>
      <c r="AW304" s="8">
        <v>2485039532</v>
      </c>
      <c r="AX304" s="8"/>
      <c r="AY304" s="8"/>
      <c r="AZ304" s="8"/>
      <c r="BA304" s="8"/>
      <c r="BB304" s="8"/>
      <c r="BC304" s="8">
        <f t="shared" si="34"/>
        <v>139421757777</v>
      </c>
      <c r="BD304" s="4">
        <v>139421757777</v>
      </c>
      <c r="BE304" s="4">
        <f t="shared" si="35"/>
        <v>0</v>
      </c>
      <c r="BF304" s="30">
        <f t="shared" si="36"/>
        <v>139421757777</v>
      </c>
      <c r="BG304" s="18">
        <f t="shared" si="37"/>
        <v>0</v>
      </c>
      <c r="BH304" s="23"/>
      <c r="BI304" s="14"/>
      <c r="BJ304" s="14"/>
      <c r="BK304" s="14"/>
      <c r="BL304" s="14"/>
      <c r="BM304" s="14"/>
      <c r="BN304" s="14"/>
    </row>
    <row r="305" spans="1:66" ht="15" customHeight="1" x14ac:dyDescent="0.2">
      <c r="A305" s="1">
        <v>8001039206</v>
      </c>
      <c r="B305" s="1">
        <v>800103920</v>
      </c>
      <c r="C305" s="15">
        <v>114747000</v>
      </c>
      <c r="D305" s="16" t="s">
        <v>17</v>
      </c>
      <c r="E305" s="53" t="s">
        <v>1024</v>
      </c>
      <c r="F305" s="28">
        <v>27111560141</v>
      </c>
      <c r="G305" s="17"/>
      <c r="H305" s="3">
        <v>600431291</v>
      </c>
      <c r="I305" s="17"/>
      <c r="J305" s="29">
        <v>2020344839</v>
      </c>
      <c r="K305" s="3">
        <v>4144121848</v>
      </c>
      <c r="L305" s="17"/>
      <c r="M305" s="7">
        <f t="shared" si="40"/>
        <v>33876458119</v>
      </c>
      <c r="N305" s="3">
        <f>27415031808+154580352</f>
        <v>27569612160</v>
      </c>
      <c r="O305" s="17"/>
      <c r="P305" s="3">
        <f>VLOOKUP(A305,'[3]PENS-CANC'!A$2:B$37,2,0)</f>
        <v>600431291</v>
      </c>
      <c r="Q305" s="2"/>
      <c r="R305" s="3">
        <v>2021093460</v>
      </c>
      <c r="S305" s="3">
        <f>2123777009+2021093460</f>
        <v>4144870469</v>
      </c>
      <c r="T305" s="17"/>
      <c r="U305" s="8">
        <f t="shared" si="32"/>
        <v>68212465499</v>
      </c>
      <c r="V305" s="8">
        <v>33759127359</v>
      </c>
      <c r="W305" s="8"/>
      <c r="X305" s="8">
        <v>600431291</v>
      </c>
      <c r="Y305" s="8"/>
      <c r="Z305" s="8">
        <v>1948750000</v>
      </c>
      <c r="AA305" s="8">
        <v>3497677526</v>
      </c>
      <c r="AB305" s="8"/>
      <c r="AC305" s="8">
        <f t="shared" si="33"/>
        <v>108018451675</v>
      </c>
      <c r="AD305" s="8">
        <v>30752217304</v>
      </c>
      <c r="AE305" s="8">
        <v>9918565105</v>
      </c>
      <c r="AF305" s="8"/>
      <c r="AG305" s="8">
        <v>600431291</v>
      </c>
      <c r="AH305" s="8"/>
      <c r="AI305" s="8"/>
      <c r="AJ305" s="8">
        <v>1906229663</v>
      </c>
      <c r="AK305" s="8">
        <v>4817409213</v>
      </c>
      <c r="AL305" s="8"/>
      <c r="AM305" s="8"/>
      <c r="AN305" s="8">
        <f t="shared" si="39"/>
        <v>156013304251</v>
      </c>
      <c r="AO305" s="8">
        <v>31257969165</v>
      </c>
      <c r="AP305" s="8"/>
      <c r="AQ305" s="8"/>
      <c r="AR305" s="8">
        <v>600431291</v>
      </c>
      <c r="AS305" s="8">
        <v>2382883670</v>
      </c>
      <c r="AT305" s="8"/>
      <c r="AU305" s="8"/>
      <c r="AV305" s="8">
        <v>1906229663</v>
      </c>
      <c r="AW305" s="8">
        <v>3265679645</v>
      </c>
      <c r="AX305" s="8"/>
      <c r="AY305" s="8"/>
      <c r="AZ305" s="8"/>
      <c r="BA305" s="8"/>
      <c r="BB305" s="8"/>
      <c r="BC305" s="8">
        <f t="shared" si="34"/>
        <v>195426497685</v>
      </c>
      <c r="BD305" s="4">
        <v>195426497685</v>
      </c>
      <c r="BE305" s="4">
        <f t="shared" si="35"/>
        <v>0</v>
      </c>
      <c r="BF305" s="30">
        <f t="shared" si="36"/>
        <v>195426497685</v>
      </c>
      <c r="BG305" s="18">
        <f t="shared" si="37"/>
        <v>0</v>
      </c>
      <c r="BH305" s="23"/>
      <c r="BI305" s="14"/>
      <c r="BJ305" s="14"/>
      <c r="BK305" s="14"/>
      <c r="BL305" s="14"/>
      <c r="BM305" s="14"/>
      <c r="BN305" s="14"/>
    </row>
    <row r="306" spans="1:66" ht="15" customHeight="1" x14ac:dyDescent="0.2">
      <c r="A306" s="1">
        <v>8920001488</v>
      </c>
      <c r="B306" s="1">
        <v>892000148</v>
      </c>
      <c r="C306" s="15">
        <v>115050000</v>
      </c>
      <c r="D306" s="16" t="s">
        <v>35</v>
      </c>
      <c r="E306" s="53" t="s">
        <v>1066</v>
      </c>
      <c r="F306" s="28">
        <v>12872063449</v>
      </c>
      <c r="G306" s="17"/>
      <c r="H306" s="3">
        <v>262233485</v>
      </c>
      <c r="I306" s="17"/>
      <c r="J306" s="29">
        <v>878129875</v>
      </c>
      <c r="K306" s="3">
        <v>1772557660</v>
      </c>
      <c r="L306" s="17"/>
      <c r="M306" s="7">
        <f t="shared" si="40"/>
        <v>15784984469</v>
      </c>
      <c r="N306" s="3">
        <f>12124882953+332217601</f>
        <v>12457100554</v>
      </c>
      <c r="O306" s="17"/>
      <c r="P306" s="3">
        <f>VLOOKUP(A306,'[3]PENS-CANC'!A$2:B$37,2,0)</f>
        <v>262233485</v>
      </c>
      <c r="Q306" s="2"/>
      <c r="R306" s="3">
        <v>878207048</v>
      </c>
      <c r="S306" s="3">
        <f>894427785+878207048</f>
        <v>1772634833</v>
      </c>
      <c r="T306" s="17"/>
      <c r="U306" s="8">
        <f t="shared" si="32"/>
        <v>31155160389</v>
      </c>
      <c r="V306" s="8">
        <v>24085711039</v>
      </c>
      <c r="W306" s="8"/>
      <c r="X306" s="8">
        <v>262233485</v>
      </c>
      <c r="Y306" s="8"/>
      <c r="Z306" s="8">
        <v>827267261</v>
      </c>
      <c r="AA306" s="8">
        <v>1887580445</v>
      </c>
      <c r="AB306" s="8"/>
      <c r="AC306" s="8">
        <f t="shared" si="33"/>
        <v>58217952619</v>
      </c>
      <c r="AD306" s="8">
        <v>12897160032</v>
      </c>
      <c r="AE306" s="8">
        <v>3830965261</v>
      </c>
      <c r="AF306" s="8"/>
      <c r="AG306" s="8">
        <v>262233485</v>
      </c>
      <c r="AH306" s="8"/>
      <c r="AI306" s="8"/>
      <c r="AJ306" s="8">
        <v>882960490</v>
      </c>
      <c r="AK306" s="8">
        <v>2233587496</v>
      </c>
      <c r="AL306" s="8"/>
      <c r="AM306" s="8"/>
      <c r="AN306" s="8">
        <f t="shared" si="39"/>
        <v>78324859383</v>
      </c>
      <c r="AO306" s="8">
        <v>12897160032</v>
      </c>
      <c r="AP306" s="8"/>
      <c r="AQ306" s="8"/>
      <c r="AR306" s="8">
        <v>262233485</v>
      </c>
      <c r="AS306" s="8">
        <v>3847619111</v>
      </c>
      <c r="AT306" s="8"/>
      <c r="AU306" s="8"/>
      <c r="AV306" s="8">
        <v>882960490</v>
      </c>
      <c r="AW306" s="8">
        <v>1514910958</v>
      </c>
      <c r="AX306" s="8"/>
      <c r="AY306" s="8"/>
      <c r="AZ306" s="8"/>
      <c r="BA306" s="8"/>
      <c r="BB306" s="8"/>
      <c r="BC306" s="8">
        <f t="shared" si="34"/>
        <v>97729743459</v>
      </c>
      <c r="BD306" s="4">
        <v>97729743459</v>
      </c>
      <c r="BE306" s="4">
        <f t="shared" si="35"/>
        <v>0</v>
      </c>
      <c r="BF306" s="30">
        <f t="shared" si="36"/>
        <v>97729743459</v>
      </c>
      <c r="BG306" s="18">
        <f t="shared" si="37"/>
        <v>0</v>
      </c>
      <c r="BH306" s="23"/>
      <c r="BI306" s="14"/>
      <c r="BJ306" s="14"/>
      <c r="BK306" s="14"/>
      <c r="BL306" s="14"/>
      <c r="BM306" s="14"/>
      <c r="BN306" s="14"/>
    </row>
    <row r="307" spans="1:66" ht="15" customHeight="1" x14ac:dyDescent="0.2">
      <c r="A307" s="1">
        <v>8000941644</v>
      </c>
      <c r="B307" s="56">
        <v>800094164</v>
      </c>
      <c r="C307" s="15">
        <v>118686000</v>
      </c>
      <c r="D307" s="16" t="s">
        <v>13</v>
      </c>
      <c r="E307" s="53" t="s">
        <v>1013</v>
      </c>
      <c r="F307" s="28">
        <v>13885868094</v>
      </c>
      <c r="G307" s="17"/>
      <c r="H307" s="3">
        <v>90380151</v>
      </c>
      <c r="I307" s="17"/>
      <c r="J307" s="29">
        <v>871048814</v>
      </c>
      <c r="K307" s="3">
        <v>1767038551</v>
      </c>
      <c r="L307" s="17"/>
      <c r="M307" s="7">
        <f t="shared" si="40"/>
        <v>16614335610</v>
      </c>
      <c r="N307" s="3">
        <f>13035678555+325580823</f>
        <v>13361259378</v>
      </c>
      <c r="O307" s="17"/>
      <c r="P307" s="3">
        <f>VLOOKUP(A307,'[3]PENS-CANC'!A$2:B$37,2,0)</f>
        <v>90380151</v>
      </c>
      <c r="Q307" s="2"/>
      <c r="R307" s="3">
        <v>871048814</v>
      </c>
      <c r="S307" s="3">
        <f>895989737+871048814</f>
        <v>1767038551</v>
      </c>
      <c r="T307" s="17"/>
      <c r="U307" s="8">
        <f t="shared" si="32"/>
        <v>32704062504</v>
      </c>
      <c r="V307" s="8">
        <v>20281934570</v>
      </c>
      <c r="W307" s="8"/>
      <c r="X307" s="8">
        <v>90380151</v>
      </c>
      <c r="Y307" s="8"/>
      <c r="Z307" s="8">
        <v>815063777</v>
      </c>
      <c r="AA307" s="8">
        <v>1847407342</v>
      </c>
      <c r="AB307" s="8"/>
      <c r="AC307" s="8">
        <f t="shared" si="33"/>
        <v>55738848344</v>
      </c>
      <c r="AD307" s="8">
        <v>12877843334</v>
      </c>
      <c r="AE307" s="8">
        <v>2702421360</v>
      </c>
      <c r="AF307" s="8"/>
      <c r="AG307" s="8">
        <v>90380151</v>
      </c>
      <c r="AH307" s="8"/>
      <c r="AI307" s="8"/>
      <c r="AJ307" s="8">
        <v>877321078</v>
      </c>
      <c r="AK307" s="8">
        <v>2223461073</v>
      </c>
      <c r="AL307" s="8"/>
      <c r="AM307" s="8"/>
      <c r="AN307" s="8">
        <f t="shared" si="39"/>
        <v>74510275340</v>
      </c>
      <c r="AO307" s="8">
        <v>12877843334</v>
      </c>
      <c r="AP307" s="8"/>
      <c r="AQ307" s="8"/>
      <c r="AR307" s="8">
        <v>90380151</v>
      </c>
      <c r="AS307" s="8">
        <v>0</v>
      </c>
      <c r="AT307" s="8"/>
      <c r="AU307" s="8"/>
      <c r="AV307" s="8">
        <v>877321078</v>
      </c>
      <c r="AW307" s="8">
        <v>1509030307</v>
      </c>
      <c r="AX307" s="8"/>
      <c r="AY307" s="8"/>
      <c r="AZ307" s="8"/>
      <c r="BA307" s="8"/>
      <c r="BB307" s="8"/>
      <c r="BC307" s="8">
        <f t="shared" si="34"/>
        <v>89864850210</v>
      </c>
      <c r="BD307" s="4">
        <v>89864850210</v>
      </c>
      <c r="BE307" s="4">
        <f t="shared" si="35"/>
        <v>0</v>
      </c>
      <c r="BF307" s="30">
        <f t="shared" si="36"/>
        <v>89864850210</v>
      </c>
      <c r="BG307" s="18">
        <f t="shared" si="37"/>
        <v>0</v>
      </c>
      <c r="BH307" s="23"/>
      <c r="BI307" s="14"/>
      <c r="BJ307" s="14"/>
      <c r="BK307" s="14"/>
      <c r="BL307" s="14"/>
      <c r="BM307" s="14"/>
      <c r="BN307" s="14"/>
    </row>
    <row r="308" spans="1:66" ht="15" customHeight="1" x14ac:dyDescent="0.2">
      <c r="A308" s="1">
        <v>8900016391</v>
      </c>
      <c r="B308" s="1">
        <v>890001639</v>
      </c>
      <c r="C308" s="15">
        <v>116363000</v>
      </c>
      <c r="D308" s="16" t="s">
        <v>23</v>
      </c>
      <c r="E308" s="53" t="s">
        <v>1033</v>
      </c>
      <c r="F308" s="28">
        <f>8285933873+317310565</f>
        <v>8603244438</v>
      </c>
      <c r="G308" s="17"/>
      <c r="H308" s="3">
        <v>0</v>
      </c>
      <c r="I308" s="17"/>
      <c r="J308" s="29">
        <v>519398364</v>
      </c>
      <c r="K308" s="3">
        <v>1031118468</v>
      </c>
      <c r="L308" s="17"/>
      <c r="M308" s="7">
        <f t="shared" si="40"/>
        <v>10153761270</v>
      </c>
      <c r="N308" s="3">
        <f>7942258337+144232075</f>
        <v>8086490412</v>
      </c>
      <c r="O308" s="17"/>
      <c r="P308" s="3">
        <f>VLOOKUP(A308,'[3]PENS-CANC'!A$2:B$37,2,0)</f>
        <v>0</v>
      </c>
      <c r="Q308" s="2"/>
      <c r="R308" s="3">
        <v>519398364</v>
      </c>
      <c r="S308" s="3">
        <f>511720104+519398364</f>
        <v>1031118468</v>
      </c>
      <c r="T308" s="17"/>
      <c r="U308" s="8">
        <f t="shared" si="32"/>
        <v>19790768514</v>
      </c>
      <c r="V308" s="8">
        <v>9755924834</v>
      </c>
      <c r="W308" s="8"/>
      <c r="X308" s="8">
        <v>0</v>
      </c>
      <c r="Y308" s="8"/>
      <c r="Z308" s="8">
        <v>529333333</v>
      </c>
      <c r="AA308" s="8">
        <v>1166627398</v>
      </c>
      <c r="AB308" s="8"/>
      <c r="AC308" s="8">
        <f t="shared" si="33"/>
        <v>31242654079</v>
      </c>
      <c r="AD308" s="8">
        <v>7765859296</v>
      </c>
      <c r="AE308" s="8">
        <v>1266876765</v>
      </c>
      <c r="AF308" s="8"/>
      <c r="AG308" s="8">
        <v>0</v>
      </c>
      <c r="AH308" s="8"/>
      <c r="AI308" s="8"/>
      <c r="AJ308" s="8">
        <v>532703604</v>
      </c>
      <c r="AK308" s="8">
        <v>1342810575</v>
      </c>
      <c r="AL308" s="8"/>
      <c r="AM308" s="8"/>
      <c r="AN308" s="8">
        <f t="shared" si="39"/>
        <v>42150904319</v>
      </c>
      <c r="AO308" s="8">
        <v>7765859296</v>
      </c>
      <c r="AP308" s="8"/>
      <c r="AQ308" s="8"/>
      <c r="AR308" s="8"/>
      <c r="AS308" s="8">
        <v>1050805000</v>
      </c>
      <c r="AT308" s="8"/>
      <c r="AU308" s="8"/>
      <c r="AV308" s="8">
        <v>532703604</v>
      </c>
      <c r="AW308" s="8">
        <v>909470725</v>
      </c>
      <c r="AX308" s="8"/>
      <c r="AY308" s="8"/>
      <c r="AZ308" s="8"/>
      <c r="BA308" s="8"/>
      <c r="BB308" s="8"/>
      <c r="BC308" s="8">
        <f t="shared" si="34"/>
        <v>52409742944</v>
      </c>
      <c r="BD308" s="4">
        <v>52409742944</v>
      </c>
      <c r="BE308" s="4">
        <f t="shared" si="35"/>
        <v>0</v>
      </c>
      <c r="BF308" s="30">
        <f t="shared" si="36"/>
        <v>52409742944</v>
      </c>
      <c r="BG308" s="18">
        <f t="shared" si="37"/>
        <v>0</v>
      </c>
      <c r="BH308" s="23"/>
      <c r="BI308" s="14"/>
      <c r="BJ308" s="14"/>
      <c r="BK308" s="14"/>
      <c r="BL308" s="14"/>
      <c r="BM308" s="14"/>
      <c r="BN308" s="14"/>
    </row>
    <row r="309" spans="1:66" ht="15" customHeight="1" x14ac:dyDescent="0.2">
      <c r="A309" s="1">
        <v>8001136727</v>
      </c>
      <c r="B309" s="1">
        <v>800113672</v>
      </c>
      <c r="C309" s="15">
        <v>117373000</v>
      </c>
      <c r="D309" s="16" t="s">
        <v>21</v>
      </c>
      <c r="E309" s="53" t="s">
        <v>1030</v>
      </c>
      <c r="F309" s="28">
        <v>26219466648</v>
      </c>
      <c r="G309" s="17"/>
      <c r="H309" s="3">
        <v>2658897930</v>
      </c>
      <c r="I309" s="17"/>
      <c r="J309" s="29">
        <v>1841512941</v>
      </c>
      <c r="K309" s="3">
        <v>3738638292</v>
      </c>
      <c r="L309" s="17"/>
      <c r="M309" s="7">
        <f t="shared" si="40"/>
        <v>34458515811</v>
      </c>
      <c r="N309" s="3">
        <f>25799796784+202837584</f>
        <v>26002634368</v>
      </c>
      <c r="O309" s="17"/>
      <c r="P309" s="3">
        <f>VLOOKUP(A309,'[3]PENS-CANC'!A$2:B$37,2,0)</f>
        <v>2658897930</v>
      </c>
      <c r="Q309" s="2"/>
      <c r="R309" s="3">
        <v>1841512941</v>
      </c>
      <c r="S309" s="3">
        <f>1897125351+1841512941</f>
        <v>3738638292</v>
      </c>
      <c r="T309" s="17"/>
      <c r="U309" s="8">
        <f t="shared" si="32"/>
        <v>68700199342</v>
      </c>
      <c r="V309" s="8">
        <v>37394045348</v>
      </c>
      <c r="W309" s="8"/>
      <c r="X309" s="8">
        <v>2658897930</v>
      </c>
      <c r="Y309" s="8"/>
      <c r="Z309" s="8">
        <v>1850325662</v>
      </c>
      <c r="AA309" s="8">
        <v>4050778900</v>
      </c>
      <c r="AB309" s="8"/>
      <c r="AC309" s="8">
        <f t="shared" si="33"/>
        <v>114654247182</v>
      </c>
      <c r="AD309" s="8">
        <v>27638444018</v>
      </c>
      <c r="AE309" s="8">
        <v>2282177895</v>
      </c>
      <c r="AF309" s="8"/>
      <c r="AG309" s="8">
        <v>2658897930</v>
      </c>
      <c r="AH309" s="8"/>
      <c r="AI309" s="8"/>
      <c r="AJ309" s="8">
        <v>1873064632</v>
      </c>
      <c r="AK309" s="8">
        <v>4728707693</v>
      </c>
      <c r="AL309" s="8"/>
      <c r="AM309" s="8"/>
      <c r="AN309" s="8">
        <f t="shared" si="39"/>
        <v>153835539350</v>
      </c>
      <c r="AO309" s="8">
        <v>28139215753</v>
      </c>
      <c r="AP309" s="8"/>
      <c r="AQ309" s="8"/>
      <c r="AR309" s="8">
        <v>2658897930</v>
      </c>
      <c r="AS309" s="8">
        <v>614886859</v>
      </c>
      <c r="AT309" s="8"/>
      <c r="AU309" s="8"/>
      <c r="AV309" s="8">
        <v>1873064632</v>
      </c>
      <c r="AW309" s="8">
        <v>3204262669</v>
      </c>
      <c r="AX309" s="8"/>
      <c r="AY309" s="8"/>
      <c r="AZ309" s="8"/>
      <c r="BA309" s="8"/>
      <c r="BB309" s="8"/>
      <c r="BC309" s="8">
        <f t="shared" si="34"/>
        <v>190325867193</v>
      </c>
      <c r="BD309" s="4">
        <v>190325867193</v>
      </c>
      <c r="BE309" s="4">
        <f t="shared" si="35"/>
        <v>0</v>
      </c>
      <c r="BF309" s="30">
        <f t="shared" si="36"/>
        <v>190325867193</v>
      </c>
      <c r="BG309" s="18">
        <f t="shared" si="37"/>
        <v>0</v>
      </c>
      <c r="BH309" s="23"/>
      <c r="BI309" s="14"/>
      <c r="BJ309" s="14"/>
      <c r="BK309" s="14"/>
      <c r="BL309" s="14"/>
      <c r="BM309" s="14"/>
      <c r="BN309" s="14"/>
    </row>
    <row r="310" spans="1:66" ht="15" customHeight="1" x14ac:dyDescent="0.2">
      <c r="A310" s="1">
        <v>8903990295</v>
      </c>
      <c r="B310" s="48">
        <v>890399029</v>
      </c>
      <c r="C310" s="15">
        <v>117676000</v>
      </c>
      <c r="D310" s="16" t="s">
        <v>27</v>
      </c>
      <c r="E310" s="52" t="s">
        <v>2111</v>
      </c>
      <c r="F310" s="28">
        <f>24704550330</f>
        <v>24704550330</v>
      </c>
      <c r="G310" s="17"/>
      <c r="H310" s="3">
        <v>3421314966</v>
      </c>
      <c r="I310" s="17"/>
      <c r="J310" s="29">
        <v>1513498122</v>
      </c>
      <c r="K310" s="3">
        <v>3059518086</v>
      </c>
      <c r="L310" s="17"/>
      <c r="M310" s="7">
        <f t="shared" si="40"/>
        <v>32698881504</v>
      </c>
      <c r="N310" s="3">
        <f>25080000000+3078000000+215589971</f>
        <v>28373589971</v>
      </c>
      <c r="O310" s="17"/>
      <c r="P310" s="3">
        <f>VLOOKUP(A310,'[3]PENS-CANC'!A$2:B$37,2,0)</f>
        <v>3421314966</v>
      </c>
      <c r="Q310" s="2"/>
      <c r="R310" s="3">
        <v>1513498122</v>
      </c>
      <c r="S310" s="3">
        <f>1546019964+1513498122</f>
        <v>3059518086</v>
      </c>
      <c r="T310" s="17"/>
      <c r="U310" s="8">
        <f t="shared" si="32"/>
        <v>69066802649</v>
      </c>
      <c r="V310" s="8">
        <v>29494660406</v>
      </c>
      <c r="W310" s="8"/>
      <c r="X310" s="8">
        <v>3421314966</v>
      </c>
      <c r="Y310" s="8"/>
      <c r="Z310" s="8">
        <v>1409766220</v>
      </c>
      <c r="AA310" s="8">
        <v>3263725871</v>
      </c>
      <c r="AB310" s="8"/>
      <c r="AC310" s="8">
        <f t="shared" si="33"/>
        <v>106656270112</v>
      </c>
      <c r="AD310" s="8">
        <v>24683971744</v>
      </c>
      <c r="AE310" s="8">
        <v>2249537181</v>
      </c>
      <c r="AF310" s="8"/>
      <c r="AG310" s="8">
        <v>3421314966</v>
      </c>
      <c r="AH310" s="8"/>
      <c r="AI310" s="8"/>
      <c r="AJ310" s="8">
        <v>1545433634</v>
      </c>
      <c r="AK310" s="8">
        <v>3901263550</v>
      </c>
      <c r="AL310" s="8"/>
      <c r="AM310" s="8"/>
      <c r="AN310" s="8">
        <f t="shared" si="39"/>
        <v>142457791187</v>
      </c>
      <c r="AO310" s="8">
        <v>25045090068</v>
      </c>
      <c r="AP310" s="8"/>
      <c r="AQ310" s="8"/>
      <c r="AR310" s="8">
        <v>3421314966</v>
      </c>
      <c r="AS310" s="8">
        <v>0</v>
      </c>
      <c r="AT310" s="8"/>
      <c r="AU310" s="8"/>
      <c r="AV310" s="8">
        <v>1545433634</v>
      </c>
      <c r="AW310" s="8">
        <v>2643596806</v>
      </c>
      <c r="AX310" s="8"/>
      <c r="AY310" s="8"/>
      <c r="AZ310" s="8"/>
      <c r="BA310" s="8"/>
      <c r="BB310" s="8"/>
      <c r="BC310" s="8">
        <f t="shared" si="34"/>
        <v>175113226661</v>
      </c>
      <c r="BD310" s="4">
        <v>175113226661</v>
      </c>
      <c r="BE310" s="4">
        <f t="shared" si="35"/>
        <v>0</v>
      </c>
      <c r="BF310" s="30">
        <f t="shared" si="36"/>
        <v>175113226661</v>
      </c>
      <c r="BG310" s="18">
        <f t="shared" si="37"/>
        <v>0</v>
      </c>
      <c r="BH310" s="23"/>
      <c r="BI310" s="14"/>
      <c r="BJ310" s="14"/>
      <c r="BK310" s="14"/>
      <c r="BL310" s="14"/>
      <c r="BM310" s="14"/>
      <c r="BN310" s="14"/>
    </row>
    <row r="311" spans="1:66" ht="15" customHeight="1" x14ac:dyDescent="0.2">
      <c r="A311" s="1">
        <v>8250001341</v>
      </c>
      <c r="B311" s="1">
        <v>825000134</v>
      </c>
      <c r="C311" s="15">
        <v>219044090</v>
      </c>
      <c r="D311" s="16" t="s">
        <v>632</v>
      </c>
      <c r="E311" s="41" t="s">
        <v>1651</v>
      </c>
      <c r="F311" s="28"/>
      <c r="G311" s="2"/>
      <c r="H311" s="3"/>
      <c r="I311" s="2"/>
      <c r="J311" s="29"/>
      <c r="K311" s="3"/>
      <c r="L311" s="2"/>
      <c r="M311" s="8"/>
      <c r="N311" s="3"/>
      <c r="O311" s="2"/>
      <c r="P311" s="3"/>
      <c r="Q311" s="2"/>
      <c r="R311" s="3"/>
      <c r="S311" s="3"/>
      <c r="T311" s="2"/>
      <c r="U311" s="8">
        <f t="shared" si="32"/>
        <v>0</v>
      </c>
      <c r="V311" s="8"/>
      <c r="W311" s="8"/>
      <c r="X311" s="8"/>
      <c r="Y311" s="8"/>
      <c r="Z311" s="8"/>
      <c r="AA311" s="8"/>
      <c r="AB311" s="8"/>
      <c r="AC311" s="8">
        <f t="shared" si="33"/>
        <v>0</v>
      </c>
      <c r="AD311" s="8"/>
      <c r="AE311" s="8"/>
      <c r="AF311" s="8"/>
      <c r="AG311" s="8"/>
      <c r="AH311" s="8"/>
      <c r="AI311" s="8"/>
      <c r="AJ311" s="8"/>
      <c r="AK311" s="8"/>
      <c r="AL311" s="8"/>
      <c r="AM311" s="8">
        <v>545505926</v>
      </c>
      <c r="AN311" s="8">
        <f t="shared" si="39"/>
        <v>545505926</v>
      </c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>
        <f t="shared" si="34"/>
        <v>545505926</v>
      </c>
      <c r="BD311" s="4"/>
      <c r="BE311" s="4">
        <f t="shared" si="35"/>
        <v>545505926</v>
      </c>
      <c r="BF311" s="30">
        <f t="shared" si="36"/>
        <v>545505926</v>
      </c>
      <c r="BG311" s="18">
        <f t="shared" si="37"/>
        <v>0</v>
      </c>
      <c r="BH311" s="23"/>
      <c r="BI311" s="23"/>
      <c r="BJ311" s="23"/>
    </row>
    <row r="312" spans="1:66" ht="15" customHeight="1" x14ac:dyDescent="0.2">
      <c r="A312" s="1">
        <v>8250001667</v>
      </c>
      <c r="B312" s="1">
        <v>825000166</v>
      </c>
      <c r="C312" s="15">
        <v>219844098</v>
      </c>
      <c r="D312" s="16" t="s">
        <v>633</v>
      </c>
      <c r="E312" s="41" t="s">
        <v>1652</v>
      </c>
      <c r="F312" s="28"/>
      <c r="G312" s="2"/>
      <c r="H312" s="3"/>
      <c r="I312" s="2"/>
      <c r="J312" s="29"/>
      <c r="K312" s="3"/>
      <c r="L312" s="2"/>
      <c r="M312" s="8"/>
      <c r="N312" s="3"/>
      <c r="O312" s="2"/>
      <c r="P312" s="3"/>
      <c r="Q312" s="2"/>
      <c r="R312" s="3"/>
      <c r="S312" s="3"/>
      <c r="T312" s="2"/>
      <c r="U312" s="8">
        <f t="shared" si="32"/>
        <v>0</v>
      </c>
      <c r="V312" s="8"/>
      <c r="W312" s="8"/>
      <c r="X312" s="8"/>
      <c r="Y312" s="8"/>
      <c r="Z312" s="8"/>
      <c r="AA312" s="8"/>
      <c r="AB312" s="8"/>
      <c r="AC312" s="8">
        <f t="shared" si="33"/>
        <v>0</v>
      </c>
      <c r="AD312" s="8"/>
      <c r="AE312" s="8"/>
      <c r="AF312" s="8"/>
      <c r="AG312" s="8"/>
      <c r="AH312" s="8"/>
      <c r="AI312" s="8"/>
      <c r="AJ312" s="8"/>
      <c r="AK312" s="8"/>
      <c r="AL312" s="8"/>
      <c r="AM312" s="8">
        <v>146502583</v>
      </c>
      <c r="AN312" s="8">
        <f t="shared" si="39"/>
        <v>146502583</v>
      </c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>
        <f>VLOOKUP(B312,[1]Hoja3!J$3:K$674,2,0)</f>
        <v>9189553</v>
      </c>
      <c r="BB312" s="8"/>
      <c r="BC312" s="8">
        <f t="shared" si="34"/>
        <v>155692136</v>
      </c>
      <c r="BD312" s="4"/>
      <c r="BE312" s="4">
        <f t="shared" si="35"/>
        <v>155692136</v>
      </c>
      <c r="BF312" s="30">
        <f t="shared" si="36"/>
        <v>155692136</v>
      </c>
      <c r="BG312" s="18">
        <f t="shared" si="37"/>
        <v>0</v>
      </c>
      <c r="BH312" s="23"/>
      <c r="BI312" s="23"/>
      <c r="BJ312" s="23"/>
    </row>
    <row r="313" spans="1:66" ht="15" customHeight="1" x14ac:dyDescent="0.2">
      <c r="A313" s="1">
        <v>8904801844</v>
      </c>
      <c r="B313" s="1">
        <v>890480184</v>
      </c>
      <c r="C313" s="15">
        <v>210113001</v>
      </c>
      <c r="D313" s="16" t="s">
        <v>2154</v>
      </c>
      <c r="E313" s="53" t="s">
        <v>1041</v>
      </c>
      <c r="F313" s="28"/>
      <c r="G313" s="2"/>
      <c r="H313" s="3"/>
      <c r="I313" s="2">
        <f>18658987976+390099048</f>
        <v>19049087024</v>
      </c>
      <c r="J313" s="29">
        <v>1181567829</v>
      </c>
      <c r="K313" s="3">
        <v>2359887396</v>
      </c>
      <c r="L313" s="2"/>
      <c r="M313" s="37">
        <f t="shared" si="40"/>
        <v>22590542249</v>
      </c>
      <c r="N313" s="3"/>
      <c r="O313" s="2"/>
      <c r="P313" s="3">
        <f>VLOOKUP(A313,'[3]PENS-CANC'!A$2:B$37,2,0)</f>
        <v>0</v>
      </c>
      <c r="Q313" s="2">
        <f>18146287642+177317749</f>
        <v>18323605391</v>
      </c>
      <c r="R313" s="3">
        <v>1183541099</v>
      </c>
      <c r="S313" s="3">
        <f>1178319567+1183541099</f>
        <v>2361860666</v>
      </c>
      <c r="T313" s="2"/>
      <c r="U313" s="8">
        <f t="shared" si="32"/>
        <v>44459549405</v>
      </c>
      <c r="V313" s="8"/>
      <c r="W313" s="8"/>
      <c r="X313" s="8"/>
      <c r="Y313" s="8">
        <v>51801726618</v>
      </c>
      <c r="Z313" s="8">
        <v>1633859584</v>
      </c>
      <c r="AA313" s="8">
        <v>2509202441</v>
      </c>
      <c r="AB313" s="8"/>
      <c r="AC313" s="8">
        <f t="shared" si="33"/>
        <v>100404338048</v>
      </c>
      <c r="AD313" s="8"/>
      <c r="AE313" s="8"/>
      <c r="AF313" s="8"/>
      <c r="AG313" s="8"/>
      <c r="AH313" s="8">
        <v>17876345883</v>
      </c>
      <c r="AI313" s="8">
        <v>1761146998</v>
      </c>
      <c r="AJ313" s="8">
        <v>1193022744</v>
      </c>
      <c r="AK313" s="8">
        <v>3009142867</v>
      </c>
      <c r="AL313" s="8"/>
      <c r="AM313" s="8">
        <v>8312190341</v>
      </c>
      <c r="AN313" s="8">
        <f t="shared" si="39"/>
        <v>132556186881</v>
      </c>
      <c r="AO313" s="8"/>
      <c r="AP313" s="8"/>
      <c r="AQ313" s="8">
        <v>0</v>
      </c>
      <c r="AR313" s="8"/>
      <c r="AS313" s="8"/>
      <c r="AT313" s="8">
        <v>17876345883</v>
      </c>
      <c r="AU313" s="8"/>
      <c r="AV313" s="8">
        <v>1193022744</v>
      </c>
      <c r="AW313" s="8">
        <v>2038802219</v>
      </c>
      <c r="AX313" s="8"/>
      <c r="AY313" s="8"/>
      <c r="AZ313" s="8">
        <v>13399964296</v>
      </c>
      <c r="BA313" s="8"/>
      <c r="BB313" s="8">
        <f>VLOOKUP(B313,'[2]anuladas en mayo gratuidad}'!K$2:L$55,2,0)</f>
        <v>107012490</v>
      </c>
      <c r="BC313" s="8">
        <f t="shared" si="34"/>
        <v>166957309533</v>
      </c>
      <c r="BD313" s="4">
        <v>158752131682</v>
      </c>
      <c r="BE313" s="4">
        <f t="shared" si="35"/>
        <v>8205177851</v>
      </c>
      <c r="BF313" s="30">
        <f t="shared" si="36"/>
        <v>166957309533</v>
      </c>
      <c r="BG313" s="18">
        <f t="shared" si="37"/>
        <v>0</v>
      </c>
      <c r="BH313" s="23"/>
      <c r="BI313" s="23"/>
      <c r="BJ313" s="23"/>
    </row>
    <row r="314" spans="1:66" ht="15" customHeight="1" x14ac:dyDescent="0.2">
      <c r="A314" s="1">
        <v>8917800094</v>
      </c>
      <c r="B314" s="1">
        <v>891780009</v>
      </c>
      <c r="C314" s="15">
        <v>210147001</v>
      </c>
      <c r="D314" s="16" t="s">
        <v>2155</v>
      </c>
      <c r="E314" s="53" t="s">
        <v>1060</v>
      </c>
      <c r="F314" s="28"/>
      <c r="G314" s="2"/>
      <c r="H314" s="3"/>
      <c r="I314" s="2">
        <f>11820802382+221256788</f>
        <v>12042059170</v>
      </c>
      <c r="J314" s="29">
        <v>813582127</v>
      </c>
      <c r="K314" s="3">
        <v>1627301801</v>
      </c>
      <c r="L314" s="2"/>
      <c r="M314" s="37">
        <f t="shared" si="40"/>
        <v>14482943098</v>
      </c>
      <c r="N314" s="3"/>
      <c r="O314" s="2"/>
      <c r="P314" s="3">
        <f>VLOOKUP(A314,'[3]PENS-CANC'!A$2:B$37,2,0)</f>
        <v>0</v>
      </c>
      <c r="Q314" s="2">
        <f>11649156627+100571267</f>
        <v>11749727894</v>
      </c>
      <c r="R314" s="3">
        <v>814114408</v>
      </c>
      <c r="S314" s="3">
        <f>813719674+814114408</f>
        <v>1627834082</v>
      </c>
      <c r="T314" s="2"/>
      <c r="U314" s="8">
        <f t="shared" si="32"/>
        <v>28674619482</v>
      </c>
      <c r="V314" s="8"/>
      <c r="W314" s="8"/>
      <c r="X314" s="8"/>
      <c r="Y314" s="8">
        <v>15586655150</v>
      </c>
      <c r="Z314" s="8">
        <v>834807968</v>
      </c>
      <c r="AA314" s="8">
        <v>1444627469</v>
      </c>
      <c r="AB314" s="8"/>
      <c r="AC314" s="8">
        <f t="shared" si="33"/>
        <v>46540710069</v>
      </c>
      <c r="AD314" s="8"/>
      <c r="AE314" s="8"/>
      <c r="AF314" s="8"/>
      <c r="AG314" s="8"/>
      <c r="AH314" s="8">
        <v>12380812247</v>
      </c>
      <c r="AI314" s="8">
        <v>2074876340</v>
      </c>
      <c r="AJ314" s="8">
        <v>778707251</v>
      </c>
      <c r="AK314" s="8">
        <v>1964303034</v>
      </c>
      <c r="AL314" s="8"/>
      <c r="AM314" s="8">
        <v>5125710440</v>
      </c>
      <c r="AN314" s="8">
        <f t="shared" si="39"/>
        <v>68865119381</v>
      </c>
      <c r="AO314" s="8"/>
      <c r="AP314" s="8"/>
      <c r="AQ314" s="8">
        <v>2164774265</v>
      </c>
      <c r="AR314" s="8"/>
      <c r="AS314" s="8"/>
      <c r="AT314" s="8">
        <v>12380812247</v>
      </c>
      <c r="AU314" s="8"/>
      <c r="AV314" s="8">
        <v>778707251</v>
      </c>
      <c r="AW314" s="8">
        <v>1330865872</v>
      </c>
      <c r="AX314" s="8"/>
      <c r="AY314" s="8"/>
      <c r="AZ314" s="8">
        <v>1857585356</v>
      </c>
      <c r="BA314" s="8">
        <f>VLOOKUP(B314,[1]Hoja3!J$3:K$674,2,0)</f>
        <v>540590789</v>
      </c>
      <c r="BB314" s="8"/>
      <c r="BC314" s="8">
        <f t="shared" si="34"/>
        <v>87918455161</v>
      </c>
      <c r="BD314" s="4">
        <v>82252153932</v>
      </c>
      <c r="BE314" s="4">
        <f t="shared" si="35"/>
        <v>5666301229</v>
      </c>
      <c r="BF314" s="30">
        <f t="shared" si="36"/>
        <v>87918455161</v>
      </c>
      <c r="BG314" s="18">
        <f t="shared" si="37"/>
        <v>0</v>
      </c>
      <c r="BH314" s="23"/>
      <c r="BI314" s="23"/>
      <c r="BJ314" s="23"/>
    </row>
    <row r="315" spans="1:66" ht="15" customHeight="1" x14ac:dyDescent="0.2">
      <c r="A315" s="1">
        <v>8901020181</v>
      </c>
      <c r="B315" s="1">
        <v>890102018</v>
      </c>
      <c r="C315" s="15">
        <v>210108001</v>
      </c>
      <c r="D315" s="16" t="s">
        <v>25</v>
      </c>
      <c r="E315" s="53" t="s">
        <v>2066</v>
      </c>
      <c r="F315" s="28"/>
      <c r="G315" s="2"/>
      <c r="H315" s="3"/>
      <c r="I315" s="51">
        <f>24114427894+315671072</f>
        <v>24430098966</v>
      </c>
      <c r="J315" s="28">
        <v>1804912674</v>
      </c>
      <c r="K315" s="3">
        <v>3577279621</v>
      </c>
      <c r="L315" s="2"/>
      <c r="M315" s="37">
        <f t="shared" si="40"/>
        <v>29812291261</v>
      </c>
      <c r="N315" s="3"/>
      <c r="O315" s="2"/>
      <c r="P315" s="3">
        <f>VLOOKUP(A315,'[3]PENS-CANC'!A$2:B$37,2,0)</f>
        <v>0</v>
      </c>
      <c r="Q315" s="2">
        <f>22783680798+143486851</f>
        <v>22927167649</v>
      </c>
      <c r="R315" s="3">
        <v>1837493789</v>
      </c>
      <c r="S315" s="3">
        <f>1772366947+1837493789</f>
        <v>3609860736</v>
      </c>
      <c r="T315" s="2"/>
      <c r="U315" s="8">
        <f t="shared" si="32"/>
        <v>58186813435</v>
      </c>
      <c r="V315" s="8"/>
      <c r="W315" s="8"/>
      <c r="X315" s="8"/>
      <c r="Y315" s="8">
        <v>43861492358</v>
      </c>
      <c r="Z315" s="8">
        <v>2098181770</v>
      </c>
      <c r="AA315" s="8">
        <v>4083051976</v>
      </c>
      <c r="AB315" s="8"/>
      <c r="AC315" s="8">
        <f t="shared" si="33"/>
        <v>108229539539</v>
      </c>
      <c r="AD315" s="8"/>
      <c r="AE315" s="8"/>
      <c r="AF315" s="8"/>
      <c r="AG315" s="8"/>
      <c r="AH315" s="8">
        <v>23536310875</v>
      </c>
      <c r="AI315" s="8">
        <v>1698505606</v>
      </c>
      <c r="AJ315" s="8">
        <v>1815496221</v>
      </c>
      <c r="AK315" s="8">
        <v>4577162792</v>
      </c>
      <c r="AL315" s="8"/>
      <c r="AM315" s="8">
        <v>12636785217</v>
      </c>
      <c r="AN315" s="8">
        <f t="shared" si="39"/>
        <v>152493800250</v>
      </c>
      <c r="AO315" s="8"/>
      <c r="AP315" s="8"/>
      <c r="AQ315" s="8">
        <v>3992815040</v>
      </c>
      <c r="AR315" s="8"/>
      <c r="AS315" s="8"/>
      <c r="AT315" s="8">
        <v>24821446959</v>
      </c>
      <c r="AU315" s="8"/>
      <c r="AV315" s="8">
        <v>1815496221</v>
      </c>
      <c r="AW315" s="8">
        <v>3100229102</v>
      </c>
      <c r="AX315" s="8"/>
      <c r="AY315" s="8"/>
      <c r="AZ315" s="8">
        <v>7572414235</v>
      </c>
      <c r="BA315" s="8">
        <f>VLOOKUP(B315,[1]Hoja3!J$3:K$674,2,0)</f>
        <v>118791517</v>
      </c>
      <c r="BB315" s="8">
        <f>VLOOKUP(B315,'[2]anuladas en mayo gratuidad}'!K$2:L$55,2,0)</f>
        <v>1145827026</v>
      </c>
      <c r="BC315" s="8">
        <f t="shared" si="34"/>
        <v>192769166298</v>
      </c>
      <c r="BD315" s="4">
        <v>181159416590</v>
      </c>
      <c r="BE315" s="4">
        <f t="shared" si="35"/>
        <v>11609749708</v>
      </c>
      <c r="BF315" s="30">
        <f t="shared" si="36"/>
        <v>192769166298</v>
      </c>
      <c r="BG315" s="18">
        <f t="shared" si="37"/>
        <v>0</v>
      </c>
      <c r="BH315" s="23"/>
      <c r="BI315" s="23"/>
      <c r="BJ315" s="23"/>
    </row>
    <row r="316" spans="1:66" ht="15" customHeight="1" x14ac:dyDescent="0.2">
      <c r="A316" s="1">
        <v>8907020263</v>
      </c>
      <c r="B316" s="1">
        <v>890702026</v>
      </c>
      <c r="C316" s="15">
        <v>213673236</v>
      </c>
      <c r="D316" s="16" t="s">
        <v>2216</v>
      </c>
      <c r="E316" s="41" t="s">
        <v>1942</v>
      </c>
      <c r="F316" s="28"/>
      <c r="G316" s="2"/>
      <c r="H316" s="3"/>
      <c r="I316" s="2"/>
      <c r="J316" s="29"/>
      <c r="K316" s="3"/>
      <c r="L316" s="2"/>
      <c r="M316" s="8"/>
      <c r="N316" s="3"/>
      <c r="O316" s="2"/>
      <c r="P316" s="3"/>
      <c r="Q316" s="2"/>
      <c r="R316" s="3"/>
      <c r="S316" s="3"/>
      <c r="T316" s="2"/>
      <c r="U316" s="8">
        <f t="shared" si="32"/>
        <v>0</v>
      </c>
      <c r="V316" s="8"/>
      <c r="W316" s="8"/>
      <c r="X316" s="8"/>
      <c r="Y316" s="8"/>
      <c r="Z316" s="8"/>
      <c r="AA316" s="8"/>
      <c r="AB316" s="8"/>
      <c r="AC316" s="8">
        <f t="shared" si="33"/>
        <v>0</v>
      </c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>
        <v>60098815</v>
      </c>
      <c r="AZ316" s="8"/>
      <c r="BA316" s="8">
        <f>VLOOKUP(B316,[1]Hoja3!J$3:K$674,2,0)</f>
        <v>131162223</v>
      </c>
      <c r="BB316" s="8"/>
      <c r="BC316" s="8">
        <f t="shared" si="34"/>
        <v>191261038</v>
      </c>
      <c r="BD316" s="4">
        <v>60098815</v>
      </c>
      <c r="BE316" s="4">
        <f t="shared" si="35"/>
        <v>131162223</v>
      </c>
      <c r="BF316" s="30">
        <f t="shared" si="36"/>
        <v>191261038</v>
      </c>
      <c r="BG316" s="18">
        <f t="shared" si="37"/>
        <v>0</v>
      </c>
      <c r="BH316" s="23"/>
      <c r="BI316" s="23"/>
      <c r="BJ316" s="23"/>
    </row>
    <row r="317" spans="1:66" ht="15" customHeight="1" x14ac:dyDescent="0.2">
      <c r="A317" s="1">
        <v>8909840438</v>
      </c>
      <c r="B317" s="1">
        <v>890984043</v>
      </c>
      <c r="C317" s="15">
        <v>213705237</v>
      </c>
      <c r="D317" s="16" t="s">
        <v>83</v>
      </c>
      <c r="E317" s="41" t="s">
        <v>1114</v>
      </c>
      <c r="F317" s="28"/>
      <c r="G317" s="2"/>
      <c r="H317" s="3"/>
      <c r="I317" s="2"/>
      <c r="J317" s="29"/>
      <c r="K317" s="3"/>
      <c r="L317" s="2"/>
      <c r="M317" s="8"/>
      <c r="N317" s="3"/>
      <c r="O317" s="2"/>
      <c r="P317" s="3"/>
      <c r="Q317" s="2"/>
      <c r="R317" s="3"/>
      <c r="S317" s="3"/>
      <c r="T317" s="2"/>
      <c r="U317" s="8">
        <f t="shared" si="32"/>
        <v>0</v>
      </c>
      <c r="V317" s="8"/>
      <c r="W317" s="8"/>
      <c r="X317" s="8"/>
      <c r="Y317" s="8"/>
      <c r="Z317" s="8"/>
      <c r="AA317" s="8"/>
      <c r="AB317" s="8"/>
      <c r="AC317" s="8">
        <f t="shared" si="33"/>
        <v>0</v>
      </c>
      <c r="AD317" s="8"/>
      <c r="AE317" s="8"/>
      <c r="AF317" s="8"/>
      <c r="AG317" s="8"/>
      <c r="AH317" s="8"/>
      <c r="AI317" s="8"/>
      <c r="AJ317" s="8"/>
      <c r="AK317" s="8"/>
      <c r="AL317" s="8"/>
      <c r="AM317" s="8">
        <v>31368371</v>
      </c>
      <c r="AN317" s="8">
        <f>SUBTOTAL(9,AC317:AM317)</f>
        <v>31368371</v>
      </c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>
        <v>99769770</v>
      </c>
      <c r="AZ317" s="8"/>
      <c r="BA317" s="8">
        <f>VLOOKUP(B317,[1]Hoja3!J$3:K$674,2,0)</f>
        <v>212678584</v>
      </c>
      <c r="BB317" s="8"/>
      <c r="BC317" s="8">
        <f t="shared" si="34"/>
        <v>343816725</v>
      </c>
      <c r="BD317" s="4">
        <v>99769770</v>
      </c>
      <c r="BE317" s="4">
        <f t="shared" si="35"/>
        <v>244046955</v>
      </c>
      <c r="BF317" s="30">
        <f t="shared" si="36"/>
        <v>343816725</v>
      </c>
      <c r="BG317" s="18">
        <f t="shared" si="37"/>
        <v>0</v>
      </c>
      <c r="BH317" s="23"/>
      <c r="BI317" s="23"/>
      <c r="BJ317" s="23"/>
    </row>
    <row r="318" spans="1:66" ht="15" customHeight="1" x14ac:dyDescent="0.2">
      <c r="A318" s="1">
        <v>8000993106</v>
      </c>
      <c r="B318" s="1">
        <v>800099310</v>
      </c>
      <c r="C318" s="15">
        <v>217066170</v>
      </c>
      <c r="D318" s="16" t="s">
        <v>2157</v>
      </c>
      <c r="E318" s="53" t="s">
        <v>1020</v>
      </c>
      <c r="F318" s="28"/>
      <c r="G318" s="2"/>
      <c r="H318" s="3"/>
      <c r="I318" s="2">
        <f>3558618112+104511628</f>
        <v>3663129740</v>
      </c>
      <c r="J318" s="29">
        <v>267068334</v>
      </c>
      <c r="K318" s="3">
        <v>529272286</v>
      </c>
      <c r="L318" s="2"/>
      <c r="M318" s="37">
        <f t="shared" si="40"/>
        <v>4459470360</v>
      </c>
      <c r="N318" s="3"/>
      <c r="O318" s="2"/>
      <c r="P318" s="3"/>
      <c r="Q318" s="2">
        <f>3387860702+47505286</f>
        <v>3435365988</v>
      </c>
      <c r="R318" s="3">
        <v>267068334</v>
      </c>
      <c r="S318" s="3">
        <f>262203952+267068334</f>
        <v>529272286</v>
      </c>
      <c r="T318" s="2"/>
      <c r="U318" s="8">
        <f t="shared" si="32"/>
        <v>8691176968</v>
      </c>
      <c r="V318" s="8"/>
      <c r="W318" s="8"/>
      <c r="X318" s="8"/>
      <c r="Y318" s="8">
        <v>5100802875</v>
      </c>
      <c r="Z318" s="8">
        <v>264405256</v>
      </c>
      <c r="AA318" s="8">
        <v>615732553</v>
      </c>
      <c r="AB318" s="8"/>
      <c r="AC318" s="8">
        <f t="shared" si="33"/>
        <v>14672117652</v>
      </c>
      <c r="AD318" s="8"/>
      <c r="AE318" s="8"/>
      <c r="AF318" s="8"/>
      <c r="AG318" s="8"/>
      <c r="AH318" s="8">
        <v>3665271118</v>
      </c>
      <c r="AI318" s="8">
        <v>510521960</v>
      </c>
      <c r="AJ318" s="8">
        <v>274920973</v>
      </c>
      <c r="AK318" s="8">
        <v>692924494</v>
      </c>
      <c r="AL318" s="8"/>
      <c r="AM318" s="8">
        <v>1597241045</v>
      </c>
      <c r="AN318" s="8">
        <f>SUBTOTAL(9,AC318:AM318)</f>
        <v>21412997242</v>
      </c>
      <c r="AO318" s="8"/>
      <c r="AP318" s="8"/>
      <c r="AQ318" s="8">
        <v>638387995</v>
      </c>
      <c r="AR318" s="8"/>
      <c r="AS318" s="8"/>
      <c r="AT318" s="8">
        <v>3665271118</v>
      </c>
      <c r="AU318" s="8"/>
      <c r="AV318" s="8">
        <v>274920973</v>
      </c>
      <c r="AW318" s="8">
        <v>469339602</v>
      </c>
      <c r="AX318" s="8"/>
      <c r="AY318" s="8"/>
      <c r="AZ318" s="8">
        <v>379248425</v>
      </c>
      <c r="BA318" s="8">
        <f>VLOOKUP(B318,[1]Hoja3!J$3:K$674,2,0)</f>
        <v>236890931</v>
      </c>
      <c r="BB318" s="8"/>
      <c r="BC318" s="8">
        <f t="shared" si="34"/>
        <v>27077056286</v>
      </c>
      <c r="BD318" s="4">
        <v>25242924310</v>
      </c>
      <c r="BE318" s="4">
        <f t="shared" si="35"/>
        <v>1834131976</v>
      </c>
      <c r="BF318" s="30">
        <f t="shared" si="36"/>
        <v>27077056286</v>
      </c>
      <c r="BG318" s="18">
        <f t="shared" si="37"/>
        <v>0</v>
      </c>
      <c r="BH318" s="23"/>
      <c r="BI318" s="23"/>
      <c r="BJ318" s="23"/>
    </row>
    <row r="319" spans="1:66" ht="15" customHeight="1" x14ac:dyDescent="0.2">
      <c r="A319" s="1">
        <v>8918551381</v>
      </c>
      <c r="B319" s="1">
        <v>891855138</v>
      </c>
      <c r="C319" s="15">
        <v>213815238</v>
      </c>
      <c r="D319" s="16" t="s">
        <v>2158</v>
      </c>
      <c r="E319" s="54" t="s">
        <v>2095</v>
      </c>
      <c r="F319" s="28"/>
      <c r="G319" s="2"/>
      <c r="H319" s="3"/>
      <c r="I319" s="39">
        <f>3001228313+91050509</f>
        <v>3092278822</v>
      </c>
      <c r="J319" s="29">
        <v>191746066</v>
      </c>
      <c r="K319" s="3">
        <v>380004467</v>
      </c>
      <c r="L319" s="2"/>
      <c r="M319" s="37">
        <f t="shared" si="40"/>
        <v>3664029355</v>
      </c>
      <c r="N319" s="3"/>
      <c r="O319" s="2"/>
      <c r="P319" s="3"/>
      <c r="Q319" s="2">
        <f>2875276146+41386595</f>
        <v>2916662741</v>
      </c>
      <c r="R319" s="3">
        <v>191746066</v>
      </c>
      <c r="S319" s="3">
        <f>188258401+191746066</f>
        <v>380004467</v>
      </c>
      <c r="T319" s="2"/>
      <c r="U319" s="8">
        <f t="shared" si="32"/>
        <v>7152442629</v>
      </c>
      <c r="V319" s="8"/>
      <c r="W319" s="8"/>
      <c r="X319" s="8"/>
      <c r="Y319" s="8">
        <v>4341065920</v>
      </c>
      <c r="Z319" s="8">
        <v>195115161</v>
      </c>
      <c r="AA319" s="8">
        <v>451541569</v>
      </c>
      <c r="AB319" s="8"/>
      <c r="AC319" s="8">
        <f t="shared" si="33"/>
        <v>12140165279</v>
      </c>
      <c r="AD319" s="8"/>
      <c r="AE319" s="8"/>
      <c r="AF319" s="8"/>
      <c r="AG319" s="8"/>
      <c r="AH319" s="8">
        <v>2783979191</v>
      </c>
      <c r="AI319" s="8">
        <v>403917514</v>
      </c>
      <c r="AJ319" s="8">
        <v>197214615</v>
      </c>
      <c r="AK319" s="8">
        <v>496799645</v>
      </c>
      <c r="AL319" s="8"/>
      <c r="AM319" s="8">
        <v>1347061593</v>
      </c>
      <c r="AN319" s="8">
        <f>SUBTOTAL(9,AC319:AM319)</f>
        <v>17369137837</v>
      </c>
      <c r="AO319" s="8"/>
      <c r="AP319" s="8"/>
      <c r="AQ319" s="8">
        <v>386220780</v>
      </c>
      <c r="AR319" s="8"/>
      <c r="AS319" s="8"/>
      <c r="AT319" s="8">
        <v>2783979191</v>
      </c>
      <c r="AU319" s="8"/>
      <c r="AV319" s="8">
        <v>197214615</v>
      </c>
      <c r="AW319" s="8">
        <v>336411415</v>
      </c>
      <c r="AX319" s="8"/>
      <c r="AY319" s="8"/>
      <c r="AZ319" s="8">
        <v>381334267</v>
      </c>
      <c r="BA319" s="8">
        <f>VLOOKUP(B319,[1]Hoja3!J$3:K$674,2,0)</f>
        <v>15903443</v>
      </c>
      <c r="BB319" s="8">
        <f>VLOOKUP(B319,'[2]anuladas en mayo gratuidad}'!K$2:L$55,2,0)</f>
        <v>27811306</v>
      </c>
      <c r="BC319" s="8">
        <f t="shared" si="34"/>
        <v>21442390242</v>
      </c>
      <c r="BD319" s="4">
        <v>20107236512</v>
      </c>
      <c r="BE319" s="4">
        <f t="shared" si="35"/>
        <v>1335153730</v>
      </c>
      <c r="BF319" s="30">
        <f t="shared" si="36"/>
        <v>21442390242</v>
      </c>
      <c r="BG319" s="18">
        <f t="shared" si="37"/>
        <v>0</v>
      </c>
      <c r="BH319" s="23"/>
      <c r="BI319" s="23"/>
      <c r="BJ319" s="23"/>
    </row>
    <row r="320" spans="1:66" ht="15" customHeight="1" x14ac:dyDescent="0.2">
      <c r="A320" s="1">
        <v>8000992376</v>
      </c>
      <c r="B320" s="1">
        <v>800099237</v>
      </c>
      <c r="C320" s="15">
        <v>213954239</v>
      </c>
      <c r="D320" s="16" t="s">
        <v>761</v>
      </c>
      <c r="E320" s="41" t="s">
        <v>1780</v>
      </c>
      <c r="F320" s="28"/>
      <c r="G320" s="2"/>
      <c r="H320" s="3"/>
      <c r="I320" s="2"/>
      <c r="J320" s="29"/>
      <c r="K320" s="3"/>
      <c r="L320" s="2"/>
      <c r="M320" s="8"/>
      <c r="N320" s="3"/>
      <c r="O320" s="2"/>
      <c r="P320" s="3"/>
      <c r="Q320" s="2"/>
      <c r="R320" s="3"/>
      <c r="S320" s="3"/>
      <c r="T320" s="2"/>
      <c r="U320" s="8">
        <f t="shared" si="32"/>
        <v>0</v>
      </c>
      <c r="V320" s="8"/>
      <c r="W320" s="8"/>
      <c r="X320" s="8"/>
      <c r="Y320" s="8"/>
      <c r="Z320" s="8"/>
      <c r="AA320" s="8"/>
      <c r="AB320" s="8"/>
      <c r="AC320" s="8">
        <f t="shared" si="33"/>
        <v>0</v>
      </c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>
        <v>28972705</v>
      </c>
      <c r="AZ320" s="8"/>
      <c r="BA320" s="8">
        <f>VLOOKUP(B320,[1]Hoja3!J$3:K$674,2,0)</f>
        <v>58003226</v>
      </c>
      <c r="BB320" s="8"/>
      <c r="BC320" s="8">
        <f t="shared" si="34"/>
        <v>86975931</v>
      </c>
      <c r="BD320" s="4">
        <v>28972705</v>
      </c>
      <c r="BE320" s="4">
        <f t="shared" si="35"/>
        <v>58003226</v>
      </c>
      <c r="BF320" s="30">
        <f t="shared" si="36"/>
        <v>86975931</v>
      </c>
      <c r="BG320" s="18">
        <f t="shared" si="37"/>
        <v>0</v>
      </c>
      <c r="BH320" s="23"/>
      <c r="BI320" s="23"/>
      <c r="BJ320" s="23"/>
    </row>
    <row r="321" spans="1:66" ht="15" customHeight="1" x14ac:dyDescent="0.2">
      <c r="A321" s="1">
        <v>8909836647</v>
      </c>
      <c r="B321" s="1">
        <v>890983664</v>
      </c>
      <c r="C321" s="15">
        <v>214005240</v>
      </c>
      <c r="D321" s="16" t="s">
        <v>84</v>
      </c>
      <c r="E321" s="41" t="s">
        <v>1115</v>
      </c>
      <c r="F321" s="28"/>
      <c r="G321" s="2"/>
      <c r="H321" s="3"/>
      <c r="I321" s="2"/>
      <c r="J321" s="29"/>
      <c r="K321" s="3"/>
      <c r="L321" s="2"/>
      <c r="M321" s="8"/>
      <c r="N321" s="3"/>
      <c r="O321" s="2"/>
      <c r="P321" s="3"/>
      <c r="Q321" s="2"/>
      <c r="R321" s="3"/>
      <c r="S321" s="3"/>
      <c r="T321" s="2"/>
      <c r="U321" s="8">
        <f t="shared" si="32"/>
        <v>0</v>
      </c>
      <c r="V321" s="8"/>
      <c r="W321" s="8"/>
      <c r="X321" s="8"/>
      <c r="Y321" s="8"/>
      <c r="Z321" s="8"/>
      <c r="AA321" s="8"/>
      <c r="AB321" s="8"/>
      <c r="AC321" s="8">
        <f t="shared" si="33"/>
        <v>0</v>
      </c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>
        <v>79613410</v>
      </c>
      <c r="AZ321" s="8"/>
      <c r="BA321" s="8">
        <f>VLOOKUP(B321,[1]Hoja3!J$3:K$674,2,0)</f>
        <v>162555251</v>
      </c>
      <c r="BB321" s="8"/>
      <c r="BC321" s="8">
        <f t="shared" si="34"/>
        <v>242168661</v>
      </c>
      <c r="BD321" s="4">
        <v>79613410</v>
      </c>
      <c r="BE321" s="4">
        <f t="shared" si="35"/>
        <v>162555251</v>
      </c>
      <c r="BF321" s="30">
        <f t="shared" si="36"/>
        <v>242168661</v>
      </c>
      <c r="BG321" s="18">
        <f t="shared" si="37"/>
        <v>0</v>
      </c>
      <c r="BH321" s="23"/>
      <c r="BI321" s="23"/>
      <c r="BJ321" s="23"/>
    </row>
    <row r="322" spans="1:66" ht="15" customHeight="1" x14ac:dyDescent="0.2">
      <c r="A322" s="1">
        <v>8001005184</v>
      </c>
      <c r="B322" s="1">
        <v>800100518</v>
      </c>
      <c r="C322" s="15">
        <v>214376243</v>
      </c>
      <c r="D322" s="16" t="s">
        <v>922</v>
      </c>
      <c r="E322" s="41" t="s">
        <v>1983</v>
      </c>
      <c r="F322" s="28"/>
      <c r="G322" s="2"/>
      <c r="H322" s="3"/>
      <c r="I322" s="2"/>
      <c r="J322" s="29"/>
      <c r="K322" s="3"/>
      <c r="L322" s="2"/>
      <c r="M322" s="8"/>
      <c r="N322" s="3"/>
      <c r="O322" s="2"/>
      <c r="P322" s="3"/>
      <c r="Q322" s="2"/>
      <c r="R322" s="3"/>
      <c r="S322" s="3"/>
      <c r="T322" s="2"/>
      <c r="U322" s="8">
        <f t="shared" si="32"/>
        <v>0</v>
      </c>
      <c r="V322" s="8"/>
      <c r="W322" s="8"/>
      <c r="X322" s="8"/>
      <c r="Y322" s="8"/>
      <c r="Z322" s="8"/>
      <c r="AA322" s="8"/>
      <c r="AB322" s="8"/>
      <c r="AC322" s="8">
        <f t="shared" si="33"/>
        <v>0</v>
      </c>
      <c r="AD322" s="8"/>
      <c r="AE322" s="8"/>
      <c r="AF322" s="8"/>
      <c r="AG322" s="8"/>
      <c r="AH322" s="8"/>
      <c r="AI322" s="8"/>
      <c r="AJ322" s="8"/>
      <c r="AK322" s="8"/>
      <c r="AL322" s="8"/>
      <c r="AM322" s="8">
        <v>88462444</v>
      </c>
      <c r="AN322" s="8">
        <f t="shared" ref="AN322:AN327" si="41">SUBTOTAL(9,AC322:AM322)</f>
        <v>88462444</v>
      </c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>
        <v>64325060</v>
      </c>
      <c r="AZ322" s="8"/>
      <c r="BA322" s="8">
        <f>VLOOKUP(B322,[1]Hoja3!J$3:K$674,2,0)</f>
        <v>47402056</v>
      </c>
      <c r="BB322" s="8"/>
      <c r="BC322" s="8">
        <f t="shared" si="34"/>
        <v>200189560</v>
      </c>
      <c r="BD322" s="4">
        <v>64325060</v>
      </c>
      <c r="BE322" s="4">
        <f t="shared" si="35"/>
        <v>135864500</v>
      </c>
      <c r="BF322" s="30">
        <f t="shared" si="36"/>
        <v>200189560</v>
      </c>
      <c r="BG322" s="18">
        <f t="shared" si="37"/>
        <v>0</v>
      </c>
      <c r="BH322" s="23"/>
      <c r="BI322" s="23"/>
      <c r="BJ322" s="23"/>
    </row>
    <row r="323" spans="1:66" ht="15" customHeight="1" x14ac:dyDescent="0.2">
      <c r="A323" s="1">
        <v>8909842212</v>
      </c>
      <c r="B323" s="1">
        <v>890984221</v>
      </c>
      <c r="C323" s="15">
        <v>215005250</v>
      </c>
      <c r="D323" s="16" t="s">
        <v>85</v>
      </c>
      <c r="E323" s="41" t="s">
        <v>1116</v>
      </c>
      <c r="F323" s="28"/>
      <c r="G323" s="2"/>
      <c r="H323" s="3"/>
      <c r="I323" s="2"/>
      <c r="J323" s="29"/>
      <c r="K323" s="3"/>
      <c r="L323" s="2"/>
      <c r="M323" s="8"/>
      <c r="N323" s="3"/>
      <c r="O323" s="2"/>
      <c r="P323" s="3"/>
      <c r="Q323" s="2"/>
      <c r="R323" s="3"/>
      <c r="S323" s="3"/>
      <c r="T323" s="2"/>
      <c r="U323" s="8">
        <f t="shared" ref="U323:U386" si="42">SUM(M323:T323)</f>
        <v>0</v>
      </c>
      <c r="V323" s="8"/>
      <c r="W323" s="8"/>
      <c r="X323" s="8"/>
      <c r="Y323" s="8"/>
      <c r="Z323" s="8"/>
      <c r="AA323" s="8"/>
      <c r="AB323" s="8"/>
      <c r="AC323" s="8">
        <f t="shared" si="33"/>
        <v>0</v>
      </c>
      <c r="AD323" s="8"/>
      <c r="AE323" s="8"/>
      <c r="AF323" s="8"/>
      <c r="AG323" s="8"/>
      <c r="AH323" s="8"/>
      <c r="AI323" s="8"/>
      <c r="AJ323" s="8"/>
      <c r="AK323" s="8"/>
      <c r="AL323" s="8"/>
      <c r="AM323" s="8">
        <v>206798157</v>
      </c>
      <c r="AN323" s="8">
        <f t="shared" si="41"/>
        <v>206798157</v>
      </c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>
        <v>557695245</v>
      </c>
      <c r="AZ323" s="8"/>
      <c r="BA323" s="8">
        <f>VLOOKUP(B323,[1]Hoja3!J$3:K$674,2,0)</f>
        <v>642722350</v>
      </c>
      <c r="BB323" s="8"/>
      <c r="BC323" s="8">
        <f t="shared" si="34"/>
        <v>1407215752</v>
      </c>
      <c r="BD323" s="4">
        <v>557695245</v>
      </c>
      <c r="BE323" s="4">
        <f t="shared" si="35"/>
        <v>849520507</v>
      </c>
      <c r="BF323" s="30">
        <f t="shared" si="36"/>
        <v>1407215752</v>
      </c>
      <c r="BG323" s="18">
        <f t="shared" si="37"/>
        <v>0</v>
      </c>
      <c r="BH323" s="23"/>
      <c r="BI323" s="23"/>
      <c r="BJ323" s="23"/>
    </row>
    <row r="324" spans="1:66" ht="15" customHeight="1" x14ac:dyDescent="0.2">
      <c r="A324" s="1">
        <v>8917800442</v>
      </c>
      <c r="B324" s="1">
        <v>891780044</v>
      </c>
      <c r="C324" s="15">
        <v>214547245</v>
      </c>
      <c r="D324" s="16" t="s">
        <v>645</v>
      </c>
      <c r="E324" s="41" t="s">
        <v>1665</v>
      </c>
      <c r="F324" s="28"/>
      <c r="G324" s="2"/>
      <c r="H324" s="3"/>
      <c r="I324" s="2"/>
      <c r="J324" s="29"/>
      <c r="K324" s="3"/>
      <c r="L324" s="2"/>
      <c r="M324" s="8"/>
      <c r="N324" s="3"/>
      <c r="O324" s="2"/>
      <c r="P324" s="3"/>
      <c r="Q324" s="2"/>
      <c r="R324" s="3"/>
      <c r="S324" s="3"/>
      <c r="T324" s="2"/>
      <c r="U324" s="8">
        <f t="shared" si="42"/>
        <v>0</v>
      </c>
      <c r="V324" s="8"/>
      <c r="W324" s="8"/>
      <c r="X324" s="8"/>
      <c r="Y324" s="8"/>
      <c r="Z324" s="8"/>
      <c r="AA324" s="8"/>
      <c r="AB324" s="8"/>
      <c r="AC324" s="8">
        <f t="shared" ref="AC324:AC387" si="43">SUM(U324:AB324)</f>
        <v>0</v>
      </c>
      <c r="AD324" s="8"/>
      <c r="AE324" s="8"/>
      <c r="AF324" s="8"/>
      <c r="AG324" s="8"/>
      <c r="AH324" s="8"/>
      <c r="AI324" s="8"/>
      <c r="AJ324" s="8"/>
      <c r="AK324" s="8"/>
      <c r="AL324" s="8"/>
      <c r="AM324" s="8">
        <v>566150111</v>
      </c>
      <c r="AN324" s="8">
        <f t="shared" si="41"/>
        <v>566150111</v>
      </c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>
        <v>822805385</v>
      </c>
      <c r="AZ324" s="8"/>
      <c r="BA324" s="8">
        <f>VLOOKUP(B324,[1]Hoja3!J$3:K$674,2,0)</f>
        <v>806485719</v>
      </c>
      <c r="BB324" s="8">
        <f>VLOOKUP(B324,'[2]anuladas en mayo gratuidad}'!K$2:L$55,2,0)</f>
        <v>46932565</v>
      </c>
      <c r="BC324" s="8">
        <f t="shared" ref="BC324:BC387" si="44">SUM(AN324:BA324)-BB324</f>
        <v>2148508650</v>
      </c>
      <c r="BD324" s="4">
        <v>822805385</v>
      </c>
      <c r="BE324" s="4">
        <f t="shared" ref="BE324:BE387" si="45">+AM324+BA324-BB324</f>
        <v>1325703265</v>
      </c>
      <c r="BF324" s="30">
        <f t="shared" ref="BF324:BF387" si="46">+BD324+BE324</f>
        <v>2148508650</v>
      </c>
      <c r="BG324" s="18">
        <f t="shared" ref="BG324:BG387" si="47">+BC324-BF324</f>
        <v>0</v>
      </c>
      <c r="BH324" s="23"/>
      <c r="BI324" s="23"/>
      <c r="BJ324" s="23"/>
    </row>
    <row r="325" spans="1:66" ht="15" customHeight="1" x14ac:dyDescent="0.2">
      <c r="A325" s="1">
        <v>8001005152</v>
      </c>
      <c r="B325" s="1">
        <v>800100515</v>
      </c>
      <c r="C325" s="15">
        <v>214676246</v>
      </c>
      <c r="D325" s="16" t="s">
        <v>923</v>
      </c>
      <c r="E325" s="41" t="s">
        <v>1984</v>
      </c>
      <c r="F325" s="28"/>
      <c r="G325" s="2"/>
      <c r="H325" s="3"/>
      <c r="I325" s="2"/>
      <c r="J325" s="29"/>
      <c r="K325" s="3"/>
      <c r="L325" s="2"/>
      <c r="M325" s="8"/>
      <c r="N325" s="3"/>
      <c r="O325" s="2"/>
      <c r="P325" s="3"/>
      <c r="Q325" s="2"/>
      <c r="R325" s="3"/>
      <c r="S325" s="3"/>
      <c r="T325" s="2"/>
      <c r="U325" s="8">
        <f t="shared" si="42"/>
        <v>0</v>
      </c>
      <c r="V325" s="8"/>
      <c r="W325" s="8"/>
      <c r="X325" s="8"/>
      <c r="Y325" s="8"/>
      <c r="Z325" s="8"/>
      <c r="AA325" s="8"/>
      <c r="AB325" s="8"/>
      <c r="AC325" s="8">
        <f t="shared" si="43"/>
        <v>0</v>
      </c>
      <c r="AD325" s="8"/>
      <c r="AE325" s="8"/>
      <c r="AF325" s="8"/>
      <c r="AG325" s="8"/>
      <c r="AH325" s="8"/>
      <c r="AI325" s="8"/>
      <c r="AJ325" s="8"/>
      <c r="AK325" s="8"/>
      <c r="AL325" s="8"/>
      <c r="AM325" s="8">
        <v>90084690</v>
      </c>
      <c r="AN325" s="8">
        <f t="shared" si="41"/>
        <v>90084690</v>
      </c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>
        <v>53431960</v>
      </c>
      <c r="AZ325" s="8"/>
      <c r="BA325" s="8"/>
      <c r="BB325" s="8"/>
      <c r="BC325" s="8">
        <f t="shared" si="44"/>
        <v>143516650</v>
      </c>
      <c r="BD325" s="4">
        <v>53431960</v>
      </c>
      <c r="BE325" s="4">
        <f t="shared" si="45"/>
        <v>90084690</v>
      </c>
      <c r="BF325" s="30">
        <f t="shared" si="46"/>
        <v>143516650</v>
      </c>
      <c r="BG325" s="18">
        <f t="shared" si="47"/>
        <v>0</v>
      </c>
      <c r="BH325" s="23"/>
      <c r="BI325" s="23"/>
      <c r="BJ325" s="23"/>
    </row>
    <row r="326" spans="1:66" ht="15" customHeight="1" x14ac:dyDescent="0.2">
      <c r="A326" s="1">
        <v>8920990011</v>
      </c>
      <c r="B326" s="1">
        <v>892099001</v>
      </c>
      <c r="C326" s="15">
        <v>214550245</v>
      </c>
      <c r="D326" s="16" t="s">
        <v>671</v>
      </c>
      <c r="E326" s="41" t="s">
        <v>1693</v>
      </c>
      <c r="F326" s="28"/>
      <c r="G326" s="2"/>
      <c r="H326" s="3"/>
      <c r="I326" s="2"/>
      <c r="J326" s="29"/>
      <c r="K326" s="3"/>
      <c r="L326" s="2"/>
      <c r="M326" s="8"/>
      <c r="N326" s="3"/>
      <c r="O326" s="2"/>
      <c r="P326" s="3"/>
      <c r="Q326" s="2"/>
      <c r="R326" s="3"/>
      <c r="S326" s="3"/>
      <c r="T326" s="2"/>
      <c r="U326" s="8">
        <f t="shared" si="42"/>
        <v>0</v>
      </c>
      <c r="V326" s="8"/>
      <c r="W326" s="8"/>
      <c r="X326" s="8"/>
      <c r="Y326" s="8"/>
      <c r="Z326" s="8"/>
      <c r="AA326" s="8"/>
      <c r="AB326" s="8"/>
      <c r="AC326" s="8">
        <f t="shared" si="43"/>
        <v>0</v>
      </c>
      <c r="AD326" s="8"/>
      <c r="AE326" s="8"/>
      <c r="AF326" s="8"/>
      <c r="AG326" s="8"/>
      <c r="AH326" s="8"/>
      <c r="AI326" s="8"/>
      <c r="AJ326" s="8"/>
      <c r="AK326" s="8"/>
      <c r="AL326" s="8"/>
      <c r="AM326" s="8">
        <v>39344555</v>
      </c>
      <c r="AN326" s="8">
        <f t="shared" si="41"/>
        <v>39344555</v>
      </c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>
        <f t="shared" si="44"/>
        <v>39344555</v>
      </c>
      <c r="BD326" s="4"/>
      <c r="BE326" s="4">
        <f t="shared" si="45"/>
        <v>39344555</v>
      </c>
      <c r="BF326" s="30">
        <f t="shared" si="46"/>
        <v>39344555</v>
      </c>
      <c r="BG326" s="18">
        <f t="shared" si="47"/>
        <v>0</v>
      </c>
      <c r="BH326" s="23"/>
      <c r="BI326" s="23"/>
      <c r="BJ326" s="23"/>
    </row>
    <row r="327" spans="1:66" ht="15" customHeight="1" x14ac:dyDescent="0.2">
      <c r="A327" s="1">
        <v>8904800221</v>
      </c>
      <c r="B327" s="1">
        <v>890480022</v>
      </c>
      <c r="C327" s="15">
        <v>214413244</v>
      </c>
      <c r="D327" s="16" t="s">
        <v>191</v>
      </c>
      <c r="E327" s="41" t="s">
        <v>1221</v>
      </c>
      <c r="F327" s="28"/>
      <c r="G327" s="17"/>
      <c r="H327" s="3"/>
      <c r="I327" s="2"/>
      <c r="J327" s="29"/>
      <c r="K327" s="3"/>
      <c r="L327" s="17"/>
      <c r="M327" s="34"/>
      <c r="N327" s="3"/>
      <c r="O327" s="17"/>
      <c r="P327" s="3"/>
      <c r="Q327" s="2"/>
      <c r="R327" s="3"/>
      <c r="S327" s="3"/>
      <c r="T327" s="17"/>
      <c r="U327" s="8">
        <f t="shared" si="42"/>
        <v>0</v>
      </c>
      <c r="V327" s="8"/>
      <c r="W327" s="8"/>
      <c r="X327" s="8"/>
      <c r="Y327" s="8"/>
      <c r="Z327" s="8"/>
      <c r="AA327" s="8"/>
      <c r="AB327" s="8"/>
      <c r="AC327" s="8">
        <f t="shared" si="43"/>
        <v>0</v>
      </c>
      <c r="AD327" s="8"/>
      <c r="AE327" s="8"/>
      <c r="AF327" s="8"/>
      <c r="AG327" s="8"/>
      <c r="AH327" s="8"/>
      <c r="AI327" s="8"/>
      <c r="AJ327" s="8"/>
      <c r="AK327" s="8"/>
      <c r="AL327" s="8"/>
      <c r="AM327" s="8">
        <v>1135746997</v>
      </c>
      <c r="AN327" s="8">
        <f t="shared" si="41"/>
        <v>1135746997</v>
      </c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>
        <v>988621545</v>
      </c>
      <c r="AZ327" s="8"/>
      <c r="BA327" s="8"/>
      <c r="BB327" s="8"/>
      <c r="BC327" s="8">
        <f t="shared" si="44"/>
        <v>2124368542</v>
      </c>
      <c r="BD327" s="4">
        <v>988621545</v>
      </c>
      <c r="BE327" s="4">
        <f t="shared" si="45"/>
        <v>1135746997</v>
      </c>
      <c r="BF327" s="30">
        <f t="shared" si="46"/>
        <v>2124368542</v>
      </c>
      <c r="BG327" s="18">
        <f t="shared" si="47"/>
        <v>0</v>
      </c>
      <c r="BH327" s="23"/>
      <c r="BI327" s="14"/>
      <c r="BJ327" s="14"/>
      <c r="BK327" s="14"/>
      <c r="BL327" s="14"/>
      <c r="BM327" s="14"/>
      <c r="BN327" s="14"/>
    </row>
    <row r="328" spans="1:66" ht="15" customHeight="1" x14ac:dyDescent="0.2">
      <c r="A328" s="1">
        <v>8916800619</v>
      </c>
      <c r="B328" s="1">
        <v>891680061</v>
      </c>
      <c r="C328" s="15">
        <v>214527245</v>
      </c>
      <c r="D328" s="16" t="s">
        <v>578</v>
      </c>
      <c r="E328" s="41" t="s">
        <v>1598</v>
      </c>
      <c r="F328" s="28"/>
      <c r="G328" s="2"/>
      <c r="H328" s="3"/>
      <c r="I328" s="2"/>
      <c r="J328" s="29"/>
      <c r="K328" s="3"/>
      <c r="L328" s="2"/>
      <c r="M328" s="8"/>
      <c r="N328" s="3"/>
      <c r="O328" s="2"/>
      <c r="P328" s="3"/>
      <c r="Q328" s="2"/>
      <c r="R328" s="3"/>
      <c r="S328" s="3"/>
      <c r="T328" s="2"/>
      <c r="U328" s="8">
        <f t="shared" si="42"/>
        <v>0</v>
      </c>
      <c r="V328" s="8"/>
      <c r="W328" s="8"/>
      <c r="X328" s="8"/>
      <c r="Y328" s="8"/>
      <c r="Z328" s="8"/>
      <c r="AA328" s="8"/>
      <c r="AB328" s="8"/>
      <c r="AC328" s="8">
        <f t="shared" si="43"/>
        <v>0</v>
      </c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>
        <v>67611150</v>
      </c>
      <c r="AZ328" s="8"/>
      <c r="BA328" s="8"/>
      <c r="BB328" s="8"/>
      <c r="BC328" s="8">
        <f t="shared" si="44"/>
        <v>67611150</v>
      </c>
      <c r="BD328" s="4">
        <v>67611150</v>
      </c>
      <c r="BE328" s="4">
        <f t="shared" si="45"/>
        <v>0</v>
      </c>
      <c r="BF328" s="30">
        <f t="shared" si="46"/>
        <v>67611150</v>
      </c>
      <c r="BG328" s="18">
        <f t="shared" si="47"/>
        <v>0</v>
      </c>
      <c r="BH328" s="23"/>
      <c r="BI328" s="23"/>
      <c r="BJ328" s="23"/>
    </row>
    <row r="329" spans="1:66" ht="15" customHeight="1" x14ac:dyDescent="0.2">
      <c r="A329" s="1">
        <v>8000992383</v>
      </c>
      <c r="B329" s="1">
        <v>800099238</v>
      </c>
      <c r="C329" s="15">
        <v>214554245</v>
      </c>
      <c r="D329" s="16" t="s">
        <v>762</v>
      </c>
      <c r="E329" s="41" t="s">
        <v>1781</v>
      </c>
      <c r="F329" s="28"/>
      <c r="G329" s="17"/>
      <c r="H329" s="3"/>
      <c r="I329" s="2"/>
      <c r="J329" s="29"/>
      <c r="K329" s="3"/>
      <c r="L329" s="17"/>
      <c r="M329" s="34"/>
      <c r="N329" s="3"/>
      <c r="O329" s="17"/>
      <c r="P329" s="3"/>
      <c r="Q329" s="2"/>
      <c r="R329" s="3"/>
      <c r="S329" s="3"/>
      <c r="T329" s="17"/>
      <c r="U329" s="8">
        <f t="shared" si="42"/>
        <v>0</v>
      </c>
      <c r="V329" s="8"/>
      <c r="W329" s="8"/>
      <c r="X329" s="8"/>
      <c r="Y329" s="8"/>
      <c r="Z329" s="8"/>
      <c r="AA329" s="8"/>
      <c r="AB329" s="8"/>
      <c r="AC329" s="8">
        <f t="shared" si="43"/>
        <v>0</v>
      </c>
      <c r="AD329" s="8"/>
      <c r="AE329" s="8"/>
      <c r="AF329" s="8"/>
      <c r="AG329" s="8"/>
      <c r="AH329" s="8"/>
      <c r="AI329" s="8"/>
      <c r="AJ329" s="8"/>
      <c r="AK329" s="8"/>
      <c r="AL329" s="8"/>
      <c r="AM329" s="8">
        <v>43021983</v>
      </c>
      <c r="AN329" s="8">
        <f>SUBTOTAL(9,AC329:AM329)</f>
        <v>43021983</v>
      </c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>
        <v>139941820</v>
      </c>
      <c r="AZ329" s="8"/>
      <c r="BA329" s="8">
        <f>VLOOKUP(B329,[1]Hoja3!J$3:K$674,2,0)</f>
        <v>113586625</v>
      </c>
      <c r="BB329" s="8"/>
      <c r="BC329" s="8">
        <f t="shared" si="44"/>
        <v>296550428</v>
      </c>
      <c r="BD329" s="4">
        <v>139941820</v>
      </c>
      <c r="BE329" s="4">
        <f t="shared" si="45"/>
        <v>156608608</v>
      </c>
      <c r="BF329" s="30">
        <f t="shared" si="46"/>
        <v>296550428</v>
      </c>
      <c r="BG329" s="18">
        <f t="shared" si="47"/>
        <v>0</v>
      </c>
      <c r="BH329" s="23"/>
      <c r="BI329" s="14"/>
      <c r="BJ329" s="14"/>
      <c r="BK329" s="14"/>
      <c r="BL329" s="14"/>
      <c r="BM329" s="14"/>
      <c r="BN329" s="14"/>
    </row>
    <row r="330" spans="1:66" ht="15" customHeight="1" x14ac:dyDescent="0.2">
      <c r="A330" s="1">
        <v>8902708596</v>
      </c>
      <c r="B330" s="1">
        <v>890270859</v>
      </c>
      <c r="C330" s="15">
        <v>213568235</v>
      </c>
      <c r="D330" s="16" t="s">
        <v>2137</v>
      </c>
      <c r="E330" s="58" t="s">
        <v>2103</v>
      </c>
      <c r="F330" s="28"/>
      <c r="G330" s="2"/>
      <c r="H330" s="3"/>
      <c r="I330" s="2"/>
      <c r="J330" s="29"/>
      <c r="K330" s="3"/>
      <c r="L330" s="2"/>
      <c r="M330" s="8"/>
      <c r="N330" s="3"/>
      <c r="O330" s="2"/>
      <c r="P330" s="3"/>
      <c r="Q330" s="2"/>
      <c r="R330" s="3"/>
      <c r="S330" s="3"/>
      <c r="T330" s="2"/>
      <c r="U330" s="8">
        <f t="shared" si="42"/>
        <v>0</v>
      </c>
      <c r="V330" s="8"/>
      <c r="W330" s="8"/>
      <c r="X330" s="8"/>
      <c r="Y330" s="8"/>
      <c r="Z330" s="8"/>
      <c r="AA330" s="8"/>
      <c r="AB330" s="8"/>
      <c r="AC330" s="8">
        <f t="shared" si="43"/>
        <v>0</v>
      </c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>
        <v>128438885</v>
      </c>
      <c r="AZ330" s="8"/>
      <c r="BA330" s="8">
        <f>VLOOKUP(B330,[1]Hoja3!J$3:K$674,2,0)</f>
        <v>444596369</v>
      </c>
      <c r="BB330" s="8"/>
      <c r="BC330" s="8">
        <f t="shared" si="44"/>
        <v>573035254</v>
      </c>
      <c r="BD330" s="4">
        <v>128438885</v>
      </c>
      <c r="BE330" s="4">
        <f t="shared" si="45"/>
        <v>444596369</v>
      </c>
      <c r="BF330" s="30">
        <f t="shared" si="46"/>
        <v>573035254</v>
      </c>
      <c r="BG330" s="18">
        <f t="shared" si="47"/>
        <v>0</v>
      </c>
      <c r="BH330" s="23"/>
      <c r="BI330" s="23"/>
      <c r="BJ330" s="23"/>
    </row>
    <row r="331" spans="1:66" ht="15" customHeight="1" x14ac:dyDescent="0.2">
      <c r="A331" s="1">
        <v>8920992782</v>
      </c>
      <c r="B331" s="1">
        <v>892099278</v>
      </c>
      <c r="C331" s="15">
        <v>215150251</v>
      </c>
      <c r="D331" s="16" t="s">
        <v>672</v>
      </c>
      <c r="E331" s="41" t="s">
        <v>1694</v>
      </c>
      <c r="F331" s="28"/>
      <c r="G331" s="2"/>
      <c r="H331" s="3"/>
      <c r="I331" s="2"/>
      <c r="J331" s="29"/>
      <c r="K331" s="3"/>
      <c r="L331" s="2"/>
      <c r="M331" s="8"/>
      <c r="N331" s="3"/>
      <c r="O331" s="2"/>
      <c r="P331" s="3"/>
      <c r="Q331" s="2"/>
      <c r="R331" s="3"/>
      <c r="S331" s="3"/>
      <c r="T331" s="2"/>
      <c r="U331" s="8">
        <f t="shared" si="42"/>
        <v>0</v>
      </c>
      <c r="V331" s="8"/>
      <c r="W331" s="8"/>
      <c r="X331" s="8"/>
      <c r="Y331" s="8"/>
      <c r="Z331" s="8"/>
      <c r="AA331" s="8"/>
      <c r="AB331" s="8"/>
      <c r="AC331" s="8">
        <f t="shared" si="43"/>
        <v>0</v>
      </c>
      <c r="AD331" s="8"/>
      <c r="AE331" s="8"/>
      <c r="AF331" s="8"/>
      <c r="AG331" s="8"/>
      <c r="AH331" s="8"/>
      <c r="AI331" s="8"/>
      <c r="AJ331" s="8"/>
      <c r="AK331" s="8"/>
      <c r="AL331" s="8"/>
      <c r="AM331" s="8">
        <v>42799244</v>
      </c>
      <c r="AN331" s="8">
        <f>SUBTOTAL(9,AC331:AM331)</f>
        <v>42799244</v>
      </c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>
        <v>65541655</v>
      </c>
      <c r="AZ331" s="8"/>
      <c r="BA331" s="8">
        <f>VLOOKUP(B331,[1]Hoja3!J$3:K$674,2,0)</f>
        <v>90078116</v>
      </c>
      <c r="BB331" s="8"/>
      <c r="BC331" s="8">
        <f t="shared" si="44"/>
        <v>198419015</v>
      </c>
      <c r="BD331" s="4">
        <v>65541655</v>
      </c>
      <c r="BE331" s="4">
        <f t="shared" si="45"/>
        <v>132877360</v>
      </c>
      <c r="BF331" s="30">
        <f t="shared" si="46"/>
        <v>198419015</v>
      </c>
      <c r="BG331" s="18">
        <f t="shared" si="47"/>
        <v>0</v>
      </c>
      <c r="BH331" s="23"/>
      <c r="BI331" s="23"/>
      <c r="BJ331" s="23"/>
    </row>
    <row r="332" spans="1:66" ht="15" customHeight="1" x14ac:dyDescent="0.2">
      <c r="A332" s="1">
        <v>8001005335</v>
      </c>
      <c r="B332" s="1">
        <v>800100533</v>
      </c>
      <c r="C332" s="15">
        <v>214876248</v>
      </c>
      <c r="D332" s="16" t="s">
        <v>924</v>
      </c>
      <c r="E332" s="41" t="s">
        <v>1985</v>
      </c>
      <c r="F332" s="28"/>
      <c r="G332" s="2"/>
      <c r="H332" s="3"/>
      <c r="I332" s="2"/>
      <c r="J332" s="29"/>
      <c r="K332" s="3"/>
      <c r="L332" s="2"/>
      <c r="M332" s="8"/>
      <c r="N332" s="3"/>
      <c r="O332" s="2"/>
      <c r="P332" s="3"/>
      <c r="Q332" s="2"/>
      <c r="R332" s="3"/>
      <c r="S332" s="3"/>
      <c r="T332" s="2"/>
      <c r="U332" s="8">
        <f t="shared" si="42"/>
        <v>0</v>
      </c>
      <c r="V332" s="8"/>
      <c r="W332" s="8"/>
      <c r="X332" s="8"/>
      <c r="Y332" s="8"/>
      <c r="Z332" s="8"/>
      <c r="AA332" s="8"/>
      <c r="AB332" s="8"/>
      <c r="AC332" s="8">
        <f t="shared" si="43"/>
        <v>0</v>
      </c>
      <c r="AD332" s="8"/>
      <c r="AE332" s="8"/>
      <c r="AF332" s="8"/>
      <c r="AG332" s="8"/>
      <c r="AH332" s="8"/>
      <c r="AI332" s="8"/>
      <c r="AJ332" s="8"/>
      <c r="AK332" s="8"/>
      <c r="AL332" s="8"/>
      <c r="AM332" s="8">
        <v>35937657</v>
      </c>
      <c r="AN332" s="8">
        <f>SUBTOTAL(9,AC332:AM332)</f>
        <v>35937657</v>
      </c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>
        <v>277726955</v>
      </c>
      <c r="AZ332" s="8"/>
      <c r="BA332" s="8">
        <f>VLOOKUP(B332,[1]Hoja3!J$3:K$674,2,0)</f>
        <v>562242289</v>
      </c>
      <c r="BB332" s="8"/>
      <c r="BC332" s="8">
        <f t="shared" si="44"/>
        <v>875906901</v>
      </c>
      <c r="BD332" s="4">
        <v>277726955</v>
      </c>
      <c r="BE332" s="4">
        <f t="shared" si="45"/>
        <v>598179946</v>
      </c>
      <c r="BF332" s="30">
        <f t="shared" si="46"/>
        <v>875906901</v>
      </c>
      <c r="BG332" s="18">
        <f t="shared" si="47"/>
        <v>0</v>
      </c>
      <c r="BH332" s="23"/>
      <c r="BI332" s="23"/>
      <c r="BJ332" s="23"/>
    </row>
    <row r="333" spans="1:66" ht="15" customHeight="1" x14ac:dyDescent="0.2">
      <c r="A333" s="1">
        <v>8000990767</v>
      </c>
      <c r="B333" s="1">
        <v>800099076</v>
      </c>
      <c r="C333" s="15">
        <v>215052250</v>
      </c>
      <c r="D333" s="16" t="s">
        <v>706</v>
      </c>
      <c r="E333" s="41" t="s">
        <v>1729</v>
      </c>
      <c r="F333" s="28"/>
      <c r="G333" s="2"/>
      <c r="H333" s="3"/>
      <c r="I333" s="2"/>
      <c r="J333" s="29"/>
      <c r="K333" s="3"/>
      <c r="L333" s="2"/>
      <c r="M333" s="8"/>
      <c r="N333" s="3"/>
      <c r="O333" s="2"/>
      <c r="P333" s="3"/>
      <c r="Q333" s="2"/>
      <c r="R333" s="3"/>
      <c r="S333" s="3"/>
      <c r="T333" s="2"/>
      <c r="U333" s="8">
        <f t="shared" si="42"/>
        <v>0</v>
      </c>
      <c r="V333" s="8"/>
      <c r="W333" s="8"/>
      <c r="X333" s="8"/>
      <c r="Y333" s="8"/>
      <c r="Z333" s="8"/>
      <c r="AA333" s="8"/>
      <c r="AB333" s="8"/>
      <c r="AC333" s="8">
        <f t="shared" si="43"/>
        <v>0</v>
      </c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>
        <f>VLOOKUP(B333,[1]Hoja3!J$3:K$674,2,0)</f>
        <v>535490866</v>
      </c>
      <c r="BB333" s="8"/>
      <c r="BC333" s="8">
        <f t="shared" si="44"/>
        <v>535490866</v>
      </c>
      <c r="BD333" s="4"/>
      <c r="BE333" s="4">
        <f t="shared" si="45"/>
        <v>535490866</v>
      </c>
      <c r="BF333" s="30">
        <f t="shared" si="46"/>
        <v>535490866</v>
      </c>
      <c r="BG333" s="18">
        <f t="shared" si="47"/>
        <v>0</v>
      </c>
      <c r="BH333" s="23"/>
      <c r="BI333" s="23"/>
      <c r="BJ333" s="23"/>
    </row>
    <row r="334" spans="1:66" ht="15" customHeight="1" x14ac:dyDescent="0.2">
      <c r="A334" s="1">
        <v>8918578440</v>
      </c>
      <c r="B334" s="1">
        <v>891857844</v>
      </c>
      <c r="C334" s="15">
        <v>214415244</v>
      </c>
      <c r="D334" s="16" t="s">
        <v>247</v>
      </c>
      <c r="E334" s="41" t="s">
        <v>1282</v>
      </c>
      <c r="F334" s="28"/>
      <c r="G334" s="17"/>
      <c r="H334" s="3"/>
      <c r="I334" s="2"/>
      <c r="J334" s="29"/>
      <c r="K334" s="3"/>
      <c r="L334" s="17"/>
      <c r="M334" s="34"/>
      <c r="N334" s="3"/>
      <c r="O334" s="17"/>
      <c r="P334" s="3"/>
      <c r="Q334" s="2"/>
      <c r="R334" s="3"/>
      <c r="S334" s="3"/>
      <c r="T334" s="17"/>
      <c r="U334" s="8">
        <f t="shared" si="42"/>
        <v>0</v>
      </c>
      <c r="V334" s="8"/>
      <c r="W334" s="8"/>
      <c r="X334" s="8"/>
      <c r="Y334" s="8"/>
      <c r="Z334" s="8"/>
      <c r="AA334" s="8"/>
      <c r="AB334" s="8"/>
      <c r="AC334" s="8">
        <f t="shared" si="43"/>
        <v>0</v>
      </c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>
        <v>38430715</v>
      </c>
      <c r="AZ334" s="8"/>
      <c r="BA334" s="8">
        <f>VLOOKUP(B334,[1]Hoja3!J$3:K$674,2,0)</f>
        <v>70767856</v>
      </c>
      <c r="BB334" s="8"/>
      <c r="BC334" s="8">
        <f t="shared" si="44"/>
        <v>109198571</v>
      </c>
      <c r="BD334" s="4">
        <v>38430715</v>
      </c>
      <c r="BE334" s="4">
        <f t="shared" si="45"/>
        <v>70767856</v>
      </c>
      <c r="BF334" s="30">
        <f t="shared" si="46"/>
        <v>109198571</v>
      </c>
      <c r="BG334" s="18">
        <f t="shared" si="47"/>
        <v>0</v>
      </c>
      <c r="BH334" s="23"/>
      <c r="BI334" s="14"/>
      <c r="BJ334" s="14"/>
      <c r="BK334" s="14"/>
      <c r="BL334" s="14"/>
      <c r="BM334" s="14"/>
      <c r="BN334" s="14"/>
    </row>
    <row r="335" spans="1:66" ht="15" customHeight="1" x14ac:dyDescent="0.2">
      <c r="A335" s="1">
        <v>8906801620</v>
      </c>
      <c r="B335" s="1">
        <v>890680162</v>
      </c>
      <c r="C335" s="15">
        <v>214525245</v>
      </c>
      <c r="D335" s="16" t="s">
        <v>482</v>
      </c>
      <c r="E335" s="41" t="s">
        <v>1508</v>
      </c>
      <c r="F335" s="28"/>
      <c r="G335" s="2"/>
      <c r="H335" s="3"/>
      <c r="I335" s="2"/>
      <c r="J335" s="29"/>
      <c r="K335" s="3"/>
      <c r="L335" s="2"/>
      <c r="M335" s="8"/>
      <c r="N335" s="3"/>
      <c r="O335" s="2"/>
      <c r="P335" s="3"/>
      <c r="Q335" s="2"/>
      <c r="R335" s="3"/>
      <c r="S335" s="3"/>
      <c r="T335" s="2"/>
      <c r="U335" s="8">
        <f t="shared" si="42"/>
        <v>0</v>
      </c>
      <c r="V335" s="8"/>
      <c r="W335" s="8"/>
      <c r="X335" s="8"/>
      <c r="Y335" s="8"/>
      <c r="Z335" s="8"/>
      <c r="AA335" s="8"/>
      <c r="AB335" s="8"/>
      <c r="AC335" s="8">
        <f t="shared" si="43"/>
        <v>0</v>
      </c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>
        <v>147592520</v>
      </c>
      <c r="AZ335" s="8"/>
      <c r="BA335" s="8">
        <f>VLOOKUP(B335,[1]Hoja3!J$3:K$674,2,0)</f>
        <v>337849785</v>
      </c>
      <c r="BB335" s="8"/>
      <c r="BC335" s="8">
        <f t="shared" si="44"/>
        <v>485442305</v>
      </c>
      <c r="BD335" s="4">
        <v>147592520</v>
      </c>
      <c r="BE335" s="4">
        <f t="shared" si="45"/>
        <v>337849785</v>
      </c>
      <c r="BF335" s="30">
        <f t="shared" si="46"/>
        <v>485442305</v>
      </c>
      <c r="BG335" s="18">
        <f t="shared" si="47"/>
        <v>0</v>
      </c>
      <c r="BH335" s="23"/>
      <c r="BI335" s="23"/>
      <c r="BJ335" s="23"/>
    </row>
    <row r="336" spans="1:66" ht="15" customHeight="1" x14ac:dyDescent="0.2">
      <c r="A336" s="1">
        <v>8000965875</v>
      </c>
      <c r="B336" s="1">
        <v>800096587</v>
      </c>
      <c r="C336" s="15">
        <v>213820238</v>
      </c>
      <c r="D336" s="16" t="s">
        <v>421</v>
      </c>
      <c r="E336" s="41" t="s">
        <v>2096</v>
      </c>
      <c r="F336" s="28"/>
      <c r="G336" s="2"/>
      <c r="H336" s="3"/>
      <c r="I336" s="2"/>
      <c r="J336" s="29"/>
      <c r="K336" s="3"/>
      <c r="L336" s="2"/>
      <c r="M336" s="8"/>
      <c r="N336" s="3"/>
      <c r="O336" s="2"/>
      <c r="P336" s="3"/>
      <c r="Q336" s="2"/>
      <c r="R336" s="3"/>
      <c r="S336" s="3"/>
      <c r="T336" s="2"/>
      <c r="U336" s="8">
        <f t="shared" si="42"/>
        <v>0</v>
      </c>
      <c r="V336" s="8"/>
      <c r="W336" s="8"/>
      <c r="X336" s="8"/>
      <c r="Y336" s="8"/>
      <c r="Z336" s="8"/>
      <c r="AA336" s="8"/>
      <c r="AB336" s="8"/>
      <c r="AC336" s="8">
        <f t="shared" si="43"/>
        <v>0</v>
      </c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>
        <v>286238645</v>
      </c>
      <c r="AZ336" s="8"/>
      <c r="BA336" s="8">
        <f>VLOOKUP(B336,[1]Hoja3!J$3:K$674,2,0)</f>
        <v>452293057</v>
      </c>
      <c r="BB336" s="8"/>
      <c r="BC336" s="8">
        <f t="shared" si="44"/>
        <v>738531702</v>
      </c>
      <c r="BD336" s="4">
        <v>286238645</v>
      </c>
      <c r="BE336" s="4">
        <f t="shared" si="45"/>
        <v>452293057</v>
      </c>
      <c r="BF336" s="30">
        <f t="shared" si="46"/>
        <v>738531702</v>
      </c>
      <c r="BG336" s="18">
        <f t="shared" si="47"/>
        <v>0</v>
      </c>
      <c r="BH336" s="23"/>
      <c r="BI336" s="23"/>
      <c r="BJ336" s="23"/>
    </row>
    <row r="337" spans="1:66" ht="15" customHeight="1" x14ac:dyDescent="0.2">
      <c r="A337" s="1">
        <v>8000957609</v>
      </c>
      <c r="B337" s="1">
        <v>800095760</v>
      </c>
      <c r="C337" s="15">
        <v>214718247</v>
      </c>
      <c r="D337" s="16" t="s">
        <v>365</v>
      </c>
      <c r="E337" s="41" t="s">
        <v>1395</v>
      </c>
      <c r="F337" s="28"/>
      <c r="G337" s="2"/>
      <c r="H337" s="3"/>
      <c r="I337" s="2"/>
      <c r="J337" s="29"/>
      <c r="K337" s="3"/>
      <c r="L337" s="2"/>
      <c r="M337" s="8"/>
      <c r="N337" s="3"/>
      <c r="O337" s="2"/>
      <c r="P337" s="3"/>
      <c r="Q337" s="2"/>
      <c r="R337" s="3"/>
      <c r="S337" s="3"/>
      <c r="T337" s="2"/>
      <c r="U337" s="8">
        <f t="shared" si="42"/>
        <v>0</v>
      </c>
      <c r="V337" s="8"/>
      <c r="W337" s="8"/>
      <c r="X337" s="8"/>
      <c r="Y337" s="8"/>
      <c r="Z337" s="8"/>
      <c r="AA337" s="8"/>
      <c r="AB337" s="8"/>
      <c r="AC337" s="8">
        <f t="shared" si="43"/>
        <v>0</v>
      </c>
      <c r="AD337" s="8"/>
      <c r="AE337" s="8"/>
      <c r="AF337" s="8"/>
      <c r="AG337" s="8"/>
      <c r="AH337" s="8"/>
      <c r="AI337" s="8"/>
      <c r="AJ337" s="8"/>
      <c r="AK337" s="8"/>
      <c r="AL337" s="8"/>
      <c r="AM337" s="8">
        <v>298176090</v>
      </c>
      <c r="AN337" s="8">
        <f>SUBTOTAL(9,AC337:AM337)</f>
        <v>298176090</v>
      </c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>
        <v>169507120</v>
      </c>
      <c r="AZ337" s="8"/>
      <c r="BA337" s="8">
        <f>VLOOKUP(B337,[1]Hoja3!J$3:K$674,2,0)</f>
        <v>73535549</v>
      </c>
      <c r="BB337" s="8">
        <f>VLOOKUP(B337,'[2]anuladas en mayo gratuidad}'!K$2:L$55,2,0)</f>
        <v>146535388</v>
      </c>
      <c r="BC337" s="8">
        <f t="shared" si="44"/>
        <v>394683371</v>
      </c>
      <c r="BD337" s="4">
        <v>169507120</v>
      </c>
      <c r="BE337" s="4">
        <f t="shared" si="45"/>
        <v>225176251</v>
      </c>
      <c r="BF337" s="30">
        <f t="shared" si="46"/>
        <v>394683371</v>
      </c>
      <c r="BG337" s="18">
        <f t="shared" si="47"/>
        <v>0</v>
      </c>
      <c r="BH337" s="23"/>
      <c r="BI337" s="23"/>
      <c r="BJ337" s="23"/>
    </row>
    <row r="338" spans="1:66" ht="15" customHeight="1" x14ac:dyDescent="0.2">
      <c r="A338" s="1">
        <v>8002554436</v>
      </c>
      <c r="B338" s="1">
        <v>800255443</v>
      </c>
      <c r="C338" s="15">
        <v>217050270</v>
      </c>
      <c r="D338" s="16" t="s">
        <v>673</v>
      </c>
      <c r="E338" s="41" t="s">
        <v>1695</v>
      </c>
      <c r="F338" s="28"/>
      <c r="G338" s="2"/>
      <c r="H338" s="3"/>
      <c r="I338" s="2"/>
      <c r="J338" s="29"/>
      <c r="K338" s="3"/>
      <c r="L338" s="2"/>
      <c r="M338" s="8"/>
      <c r="N338" s="3"/>
      <c r="O338" s="2"/>
      <c r="P338" s="3"/>
      <c r="Q338" s="2"/>
      <c r="R338" s="3"/>
      <c r="S338" s="3"/>
      <c r="T338" s="2"/>
      <c r="U338" s="8">
        <f t="shared" si="42"/>
        <v>0</v>
      </c>
      <c r="V338" s="8"/>
      <c r="W338" s="8"/>
      <c r="X338" s="8"/>
      <c r="Y338" s="8"/>
      <c r="Z338" s="8"/>
      <c r="AA338" s="8"/>
      <c r="AB338" s="8"/>
      <c r="AC338" s="8">
        <f t="shared" si="43"/>
        <v>0</v>
      </c>
      <c r="AD338" s="8"/>
      <c r="AE338" s="8"/>
      <c r="AF338" s="8"/>
      <c r="AG338" s="8"/>
      <c r="AH338" s="8"/>
      <c r="AI338" s="8"/>
      <c r="AJ338" s="8"/>
      <c r="AK338" s="8"/>
      <c r="AL338" s="8"/>
      <c r="AM338" s="8">
        <v>79212902</v>
      </c>
      <c r="AN338" s="8">
        <f>SUBTOTAL(9,AC338:AM338)</f>
        <v>79212902</v>
      </c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>
        <v>29684230</v>
      </c>
      <c r="AZ338" s="8"/>
      <c r="BA338" s="8"/>
      <c r="BB338" s="8"/>
      <c r="BC338" s="8">
        <f t="shared" si="44"/>
        <v>108897132</v>
      </c>
      <c r="BD338" s="4">
        <v>29684230</v>
      </c>
      <c r="BE338" s="4">
        <f t="shared" si="45"/>
        <v>79212902</v>
      </c>
      <c r="BF338" s="30">
        <f t="shared" si="46"/>
        <v>108897132</v>
      </c>
      <c r="BG338" s="18">
        <f t="shared" si="47"/>
        <v>0</v>
      </c>
      <c r="BH338" s="23"/>
      <c r="BI338" s="23"/>
      <c r="BJ338" s="23"/>
    </row>
    <row r="339" spans="1:66" ht="15" customHeight="1" x14ac:dyDescent="0.2">
      <c r="A339" s="1">
        <v>8919012235</v>
      </c>
      <c r="B339" s="1">
        <v>891901223</v>
      </c>
      <c r="C339" s="15">
        <v>215076250</v>
      </c>
      <c r="D339" s="16" t="s">
        <v>925</v>
      </c>
      <c r="E339" s="41" t="s">
        <v>1986</v>
      </c>
      <c r="F339" s="28"/>
      <c r="G339" s="2"/>
      <c r="H339" s="3"/>
      <c r="I339" s="2"/>
      <c r="J339" s="29"/>
      <c r="K339" s="3"/>
      <c r="L339" s="2"/>
      <c r="M339" s="8"/>
      <c r="N339" s="3"/>
      <c r="O339" s="2"/>
      <c r="P339" s="3"/>
      <c r="Q339" s="2"/>
      <c r="R339" s="3"/>
      <c r="S339" s="3"/>
      <c r="T339" s="2"/>
      <c r="U339" s="8">
        <f t="shared" si="42"/>
        <v>0</v>
      </c>
      <c r="V339" s="8"/>
      <c r="W339" s="8"/>
      <c r="X339" s="8"/>
      <c r="Y339" s="8"/>
      <c r="Z339" s="8"/>
      <c r="AA339" s="8"/>
      <c r="AB339" s="8"/>
      <c r="AC339" s="8">
        <f t="shared" si="43"/>
        <v>0</v>
      </c>
      <c r="AD339" s="8"/>
      <c r="AE339" s="8"/>
      <c r="AF339" s="8"/>
      <c r="AG339" s="8"/>
      <c r="AH339" s="8"/>
      <c r="AI339" s="8"/>
      <c r="AJ339" s="8"/>
      <c r="AK339" s="8"/>
      <c r="AL339" s="8"/>
      <c r="AM339" s="8">
        <v>126075723</v>
      </c>
      <c r="AN339" s="8">
        <f>SUBTOTAL(9,AC339:AM339)</f>
        <v>126075723</v>
      </c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>
        <f t="shared" si="44"/>
        <v>126075723</v>
      </c>
      <c r="BD339" s="4"/>
      <c r="BE339" s="4">
        <f t="shared" si="45"/>
        <v>126075723</v>
      </c>
      <c r="BF339" s="30">
        <f t="shared" si="46"/>
        <v>126075723</v>
      </c>
      <c r="BG339" s="18">
        <f t="shared" si="47"/>
        <v>0</v>
      </c>
      <c r="BH339" s="23"/>
      <c r="BI339" s="23"/>
      <c r="BJ339" s="23"/>
    </row>
    <row r="340" spans="1:66" ht="15" customHeight="1" x14ac:dyDescent="0.2">
      <c r="A340" s="1">
        <v>8000310732</v>
      </c>
      <c r="B340" s="1">
        <v>800031073</v>
      </c>
      <c r="C340" s="15">
        <v>214815248</v>
      </c>
      <c r="D340" s="16" t="s">
        <v>248</v>
      </c>
      <c r="E340" s="41" t="s">
        <v>1283</v>
      </c>
      <c r="F340" s="28"/>
      <c r="G340" s="17"/>
      <c r="H340" s="3"/>
      <c r="I340" s="2"/>
      <c r="J340" s="29"/>
      <c r="K340" s="3"/>
      <c r="L340" s="17"/>
      <c r="M340" s="34"/>
      <c r="N340" s="3"/>
      <c r="O340" s="17"/>
      <c r="P340" s="3"/>
      <c r="Q340" s="2"/>
      <c r="R340" s="3"/>
      <c r="S340" s="3"/>
      <c r="T340" s="17"/>
      <c r="U340" s="8">
        <f t="shared" si="42"/>
        <v>0</v>
      </c>
      <c r="V340" s="8"/>
      <c r="W340" s="8"/>
      <c r="X340" s="8"/>
      <c r="Y340" s="8"/>
      <c r="Z340" s="8"/>
      <c r="AA340" s="8"/>
      <c r="AB340" s="8"/>
      <c r="AC340" s="8">
        <f t="shared" si="43"/>
        <v>0</v>
      </c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>
        <v>23076325</v>
      </c>
      <c r="AZ340" s="8"/>
      <c r="BA340" s="8">
        <f>VLOOKUP(B340,[1]Hoja3!J$3:K$674,2,0)</f>
        <v>43579693</v>
      </c>
      <c r="BB340" s="8"/>
      <c r="BC340" s="8">
        <f t="shared" si="44"/>
        <v>66656018</v>
      </c>
      <c r="BD340" s="4">
        <v>23076325</v>
      </c>
      <c r="BE340" s="4">
        <f t="shared" si="45"/>
        <v>43579693</v>
      </c>
      <c r="BF340" s="30">
        <f t="shared" si="46"/>
        <v>66656018</v>
      </c>
      <c r="BG340" s="18">
        <f t="shared" si="47"/>
        <v>0</v>
      </c>
      <c r="BH340" s="23"/>
      <c r="BI340" s="14"/>
      <c r="BJ340" s="14"/>
      <c r="BK340" s="14"/>
      <c r="BL340" s="14"/>
      <c r="BM340" s="14"/>
      <c r="BN340" s="14"/>
    </row>
    <row r="341" spans="1:66" ht="15" customHeight="1" x14ac:dyDescent="0.2">
      <c r="A341" s="1">
        <v>8904812958</v>
      </c>
      <c r="B341" s="1">
        <v>890481295</v>
      </c>
      <c r="C341" s="15">
        <v>214813248</v>
      </c>
      <c r="D341" s="16" t="s">
        <v>192</v>
      </c>
      <c r="E341" s="41" t="s">
        <v>1222</v>
      </c>
      <c r="F341" s="28"/>
      <c r="G341" s="17"/>
      <c r="H341" s="3"/>
      <c r="I341" s="2"/>
      <c r="J341" s="29"/>
      <c r="K341" s="3"/>
      <c r="L341" s="17"/>
      <c r="M341" s="34"/>
      <c r="N341" s="3"/>
      <c r="O341" s="17"/>
      <c r="P341" s="3"/>
      <c r="Q341" s="2"/>
      <c r="R341" s="3"/>
      <c r="S341" s="3"/>
      <c r="T341" s="17"/>
      <c r="U341" s="8">
        <f t="shared" si="42"/>
        <v>0</v>
      </c>
      <c r="V341" s="8"/>
      <c r="W341" s="8"/>
      <c r="X341" s="8"/>
      <c r="Y341" s="8"/>
      <c r="Z341" s="8"/>
      <c r="AA341" s="8"/>
      <c r="AB341" s="8"/>
      <c r="AC341" s="8">
        <f t="shared" si="43"/>
        <v>0</v>
      </c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>
        <v>68309755</v>
      </c>
      <c r="AZ341" s="8"/>
      <c r="BA341" s="8">
        <f>VLOOKUP(B341,[1]Hoja3!J$3:K$674,2,0)</f>
        <v>128855933</v>
      </c>
      <c r="BB341" s="8"/>
      <c r="BC341" s="8">
        <f t="shared" si="44"/>
        <v>197165688</v>
      </c>
      <c r="BD341" s="4">
        <v>68309755</v>
      </c>
      <c r="BE341" s="4">
        <f t="shared" si="45"/>
        <v>128855933</v>
      </c>
      <c r="BF341" s="30">
        <f t="shared" si="46"/>
        <v>197165688</v>
      </c>
      <c r="BG341" s="18">
        <f t="shared" si="47"/>
        <v>0</v>
      </c>
      <c r="BH341" s="23"/>
      <c r="BI341" s="14"/>
      <c r="BJ341" s="14"/>
      <c r="BK341" s="14"/>
      <c r="BL341" s="14"/>
      <c r="BM341" s="14"/>
      <c r="BN341" s="14"/>
    </row>
    <row r="342" spans="1:66" ht="15" customHeight="1" x14ac:dyDescent="0.2">
      <c r="A342" s="1">
        <v>8000927880</v>
      </c>
      <c r="B342" s="1">
        <v>800092788</v>
      </c>
      <c r="C342" s="15">
        <v>211044110</v>
      </c>
      <c r="D342" s="16" t="s">
        <v>634</v>
      </c>
      <c r="E342" s="41" t="s">
        <v>1653</v>
      </c>
      <c r="F342" s="28"/>
      <c r="G342" s="2"/>
      <c r="H342" s="3"/>
      <c r="I342" s="2"/>
      <c r="J342" s="29"/>
      <c r="K342" s="3"/>
      <c r="L342" s="2"/>
      <c r="M342" s="8"/>
      <c r="N342" s="3"/>
      <c r="O342" s="2"/>
      <c r="P342" s="3"/>
      <c r="Q342" s="2"/>
      <c r="R342" s="3"/>
      <c r="S342" s="3"/>
      <c r="T342" s="2"/>
      <c r="U342" s="8">
        <f t="shared" si="42"/>
        <v>0</v>
      </c>
      <c r="V342" s="8"/>
      <c r="W342" s="8"/>
      <c r="X342" s="8"/>
      <c r="Y342" s="8"/>
      <c r="Z342" s="8"/>
      <c r="AA342" s="8"/>
      <c r="AB342" s="8"/>
      <c r="AC342" s="8">
        <f t="shared" si="43"/>
        <v>0</v>
      </c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>
        <v>39341430</v>
      </c>
      <c r="AZ342" s="8"/>
      <c r="BA342" s="8">
        <f>VLOOKUP(B342,[1]Hoja3!J$3:K$674,2,0)</f>
        <v>71514366</v>
      </c>
      <c r="BB342" s="8"/>
      <c r="BC342" s="8">
        <f t="shared" si="44"/>
        <v>110855796</v>
      </c>
      <c r="BD342" s="4">
        <v>39341430</v>
      </c>
      <c r="BE342" s="4">
        <f t="shared" si="45"/>
        <v>71514366</v>
      </c>
      <c r="BF342" s="30">
        <f t="shared" si="46"/>
        <v>110855796</v>
      </c>
      <c r="BG342" s="18">
        <f t="shared" si="47"/>
        <v>0</v>
      </c>
      <c r="BH342" s="23"/>
      <c r="BI342" s="23"/>
      <c r="BJ342" s="23"/>
    </row>
    <row r="343" spans="1:66" ht="15" customHeight="1" x14ac:dyDescent="0.2">
      <c r="A343" s="1">
        <v>8000965922</v>
      </c>
      <c r="B343" s="1">
        <v>800096592</v>
      </c>
      <c r="C343" s="15">
        <v>215020250</v>
      </c>
      <c r="D343" s="16" t="s">
        <v>422</v>
      </c>
      <c r="E343" s="41" t="s">
        <v>1449</v>
      </c>
      <c r="F343" s="28"/>
      <c r="G343" s="2"/>
      <c r="H343" s="3"/>
      <c r="I343" s="2"/>
      <c r="J343" s="29"/>
      <c r="K343" s="3"/>
      <c r="L343" s="2"/>
      <c r="M343" s="8"/>
      <c r="N343" s="3"/>
      <c r="O343" s="2"/>
      <c r="P343" s="3"/>
      <c r="Q343" s="2"/>
      <c r="R343" s="3"/>
      <c r="S343" s="3"/>
      <c r="T343" s="2"/>
      <c r="U343" s="8">
        <f t="shared" si="42"/>
        <v>0</v>
      </c>
      <c r="V343" s="8"/>
      <c r="W343" s="8"/>
      <c r="X343" s="8"/>
      <c r="Y343" s="8"/>
      <c r="Z343" s="8"/>
      <c r="AA343" s="8"/>
      <c r="AB343" s="8"/>
      <c r="AC343" s="8">
        <f t="shared" si="43"/>
        <v>0</v>
      </c>
      <c r="AD343" s="8"/>
      <c r="AE343" s="8"/>
      <c r="AF343" s="8"/>
      <c r="AG343" s="8"/>
      <c r="AH343" s="8"/>
      <c r="AI343" s="8"/>
      <c r="AJ343" s="8"/>
      <c r="AK343" s="8"/>
      <c r="AL343" s="8"/>
      <c r="AM343" s="8">
        <v>514460874</v>
      </c>
      <c r="AN343" s="8">
        <f>SUBTOTAL(9,AC343:AM343)</f>
        <v>514460874</v>
      </c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>
        <v>463859960</v>
      </c>
      <c r="AZ343" s="8"/>
      <c r="BA343" s="8">
        <f>VLOOKUP(B343,[1]Hoja3!J$3:K$674,2,0)</f>
        <v>241293059</v>
      </c>
      <c r="BB343" s="8"/>
      <c r="BC343" s="8">
        <f t="shared" si="44"/>
        <v>1219613893</v>
      </c>
      <c r="BD343" s="4">
        <v>463859960</v>
      </c>
      <c r="BE343" s="4">
        <f t="shared" si="45"/>
        <v>755753933</v>
      </c>
      <c r="BF343" s="30">
        <f t="shared" si="46"/>
        <v>1219613893</v>
      </c>
      <c r="BG343" s="18">
        <f t="shared" si="47"/>
        <v>0</v>
      </c>
      <c r="BH343" s="23"/>
      <c r="BI343" s="23"/>
      <c r="BJ343" s="23"/>
    </row>
    <row r="344" spans="1:66" ht="15" customHeight="1" x14ac:dyDescent="0.2">
      <c r="A344" s="1">
        <v>8000957630</v>
      </c>
      <c r="B344" s="1">
        <v>800095763</v>
      </c>
      <c r="C344" s="15">
        <v>215618256</v>
      </c>
      <c r="D344" s="16" t="s">
        <v>366</v>
      </c>
      <c r="E344" s="41" t="s">
        <v>1396</v>
      </c>
      <c r="F344" s="28"/>
      <c r="G344" s="2"/>
      <c r="H344" s="3"/>
      <c r="I344" s="2"/>
      <c r="J344" s="29"/>
      <c r="K344" s="3"/>
      <c r="L344" s="2"/>
      <c r="M344" s="8"/>
      <c r="N344" s="3"/>
      <c r="O344" s="2"/>
      <c r="P344" s="3"/>
      <c r="Q344" s="2"/>
      <c r="R344" s="3"/>
      <c r="S344" s="3"/>
      <c r="T344" s="2"/>
      <c r="U344" s="8">
        <f t="shared" si="42"/>
        <v>0</v>
      </c>
      <c r="V344" s="8"/>
      <c r="W344" s="8"/>
      <c r="X344" s="8"/>
      <c r="Y344" s="8"/>
      <c r="Z344" s="8"/>
      <c r="AA344" s="8"/>
      <c r="AB344" s="8"/>
      <c r="AC344" s="8">
        <f t="shared" si="43"/>
        <v>0</v>
      </c>
      <c r="AD344" s="8"/>
      <c r="AE344" s="8"/>
      <c r="AF344" s="8"/>
      <c r="AG344" s="8"/>
      <c r="AH344" s="8"/>
      <c r="AI344" s="8"/>
      <c r="AJ344" s="8"/>
      <c r="AK344" s="8"/>
      <c r="AL344" s="8"/>
      <c r="AM344" s="8">
        <v>23881445</v>
      </c>
      <c r="AN344" s="8">
        <f>SUBTOTAL(9,AC344:AM344)</f>
        <v>23881445</v>
      </c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>
        <v>130128945</v>
      </c>
      <c r="AZ344" s="8"/>
      <c r="BA344" s="8">
        <f>VLOOKUP(B344,[1]Hoja3!J$3:K$674,2,0)</f>
        <v>231011971</v>
      </c>
      <c r="BB344" s="8"/>
      <c r="BC344" s="8">
        <f t="shared" si="44"/>
        <v>385022361</v>
      </c>
      <c r="BD344" s="4">
        <v>130128945</v>
      </c>
      <c r="BE344" s="4">
        <f t="shared" si="45"/>
        <v>254893416</v>
      </c>
      <c r="BF344" s="30">
        <f t="shared" si="46"/>
        <v>385022361</v>
      </c>
      <c r="BG344" s="18">
        <f t="shared" si="47"/>
        <v>0</v>
      </c>
      <c r="BH344" s="23"/>
      <c r="BI344" s="23"/>
      <c r="BJ344" s="23"/>
    </row>
    <row r="345" spans="1:66" ht="15" customHeight="1" x14ac:dyDescent="0.2">
      <c r="A345" s="1">
        <v>8140022435</v>
      </c>
      <c r="B345" s="1">
        <v>814002243</v>
      </c>
      <c r="C345" s="15">
        <v>215452254</v>
      </c>
      <c r="D345" s="16" t="s">
        <v>1007</v>
      </c>
      <c r="E345" s="41" t="s">
        <v>1730</v>
      </c>
      <c r="F345" s="28"/>
      <c r="G345" s="2"/>
      <c r="H345" s="3"/>
      <c r="I345" s="2"/>
      <c r="J345" s="29"/>
      <c r="K345" s="3"/>
      <c r="L345" s="2"/>
      <c r="M345" s="8"/>
      <c r="N345" s="3"/>
      <c r="O345" s="2"/>
      <c r="P345" s="3"/>
      <c r="Q345" s="2"/>
      <c r="R345" s="3"/>
      <c r="S345" s="3"/>
      <c r="T345" s="2"/>
      <c r="U345" s="8">
        <f t="shared" si="42"/>
        <v>0</v>
      </c>
      <c r="V345" s="8"/>
      <c r="W345" s="8"/>
      <c r="X345" s="8"/>
      <c r="Y345" s="8"/>
      <c r="Z345" s="8"/>
      <c r="AA345" s="8"/>
      <c r="AB345" s="8"/>
      <c r="AC345" s="8">
        <f t="shared" si="43"/>
        <v>0</v>
      </c>
      <c r="AD345" s="8"/>
      <c r="AE345" s="8"/>
      <c r="AF345" s="8"/>
      <c r="AG345" s="8"/>
      <c r="AH345" s="8"/>
      <c r="AI345" s="8"/>
      <c r="AJ345" s="8"/>
      <c r="AK345" s="8"/>
      <c r="AL345" s="8"/>
      <c r="AM345" s="8">
        <v>88946456</v>
      </c>
      <c r="AN345" s="8">
        <f>SUBTOTAL(9,AC345:AM345)</f>
        <v>88946456</v>
      </c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>
        <v>46605760</v>
      </c>
      <c r="AZ345" s="8"/>
      <c r="BA345" s="8"/>
      <c r="BB345" s="8"/>
      <c r="BC345" s="8">
        <f t="shared" si="44"/>
        <v>135552216</v>
      </c>
      <c r="BD345" s="4">
        <v>46605760</v>
      </c>
      <c r="BE345" s="4">
        <f t="shared" si="45"/>
        <v>88946456</v>
      </c>
      <c r="BF345" s="30">
        <f t="shared" si="46"/>
        <v>135552216</v>
      </c>
      <c r="BG345" s="18">
        <f t="shared" si="47"/>
        <v>0</v>
      </c>
      <c r="BH345" s="23"/>
      <c r="BI345" s="23"/>
      <c r="BJ345" s="23"/>
    </row>
    <row r="346" spans="1:66" ht="15" customHeight="1" x14ac:dyDescent="0.2">
      <c r="A346" s="1">
        <v>8060014398</v>
      </c>
      <c r="B346" s="1">
        <v>806001439</v>
      </c>
      <c r="C346" s="15">
        <v>216813268</v>
      </c>
      <c r="D346" s="16" t="s">
        <v>1005</v>
      </c>
      <c r="E346" s="41" t="s">
        <v>1223</v>
      </c>
      <c r="F346" s="28"/>
      <c r="G346" s="17"/>
      <c r="H346" s="3"/>
      <c r="I346" s="2"/>
      <c r="J346" s="29"/>
      <c r="K346" s="3"/>
      <c r="L346" s="17"/>
      <c r="M346" s="34"/>
      <c r="N346" s="3"/>
      <c r="O346" s="17"/>
      <c r="P346" s="3"/>
      <c r="Q346" s="2"/>
      <c r="R346" s="3"/>
      <c r="S346" s="3"/>
      <c r="T346" s="17"/>
      <c r="U346" s="8">
        <f t="shared" si="42"/>
        <v>0</v>
      </c>
      <c r="V346" s="8"/>
      <c r="W346" s="8"/>
      <c r="X346" s="8"/>
      <c r="Y346" s="8"/>
      <c r="Z346" s="8"/>
      <c r="AA346" s="8"/>
      <c r="AB346" s="8"/>
      <c r="AC346" s="8">
        <f t="shared" si="43"/>
        <v>0</v>
      </c>
      <c r="AD346" s="8"/>
      <c r="AE346" s="8"/>
      <c r="AF346" s="8"/>
      <c r="AG346" s="8"/>
      <c r="AH346" s="8"/>
      <c r="AI346" s="8"/>
      <c r="AJ346" s="8"/>
      <c r="AK346" s="8"/>
      <c r="AL346" s="8"/>
      <c r="AM346" s="8">
        <v>141292023</v>
      </c>
      <c r="AN346" s="8">
        <f>SUBTOTAL(9,AC346:AM346)</f>
        <v>141292023</v>
      </c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>
        <v>106473570</v>
      </c>
      <c r="AZ346" s="8"/>
      <c r="BA346" s="8">
        <f>VLOOKUP(B346,[1]Hoja3!J$3:K$674,2,0)</f>
        <v>31017050</v>
      </c>
      <c r="BB346" s="8"/>
      <c r="BC346" s="8">
        <f t="shared" si="44"/>
        <v>278782643</v>
      </c>
      <c r="BD346" s="4">
        <v>106473570</v>
      </c>
      <c r="BE346" s="4">
        <f t="shared" si="45"/>
        <v>172309073</v>
      </c>
      <c r="BF346" s="30">
        <f t="shared" si="46"/>
        <v>278782643</v>
      </c>
      <c r="BG346" s="18">
        <f t="shared" si="47"/>
        <v>0</v>
      </c>
      <c r="BH346" s="23"/>
      <c r="BI346" s="14"/>
      <c r="BJ346" s="14"/>
      <c r="BK346" s="14"/>
      <c r="BL346" s="14"/>
      <c r="BM346" s="14"/>
      <c r="BN346" s="14"/>
    </row>
    <row r="347" spans="1:66" ht="15" customHeight="1" x14ac:dyDescent="0.2">
      <c r="A347" s="1">
        <v>8999994604</v>
      </c>
      <c r="B347" s="1">
        <v>899999460</v>
      </c>
      <c r="C347" s="15">
        <v>215825258</v>
      </c>
      <c r="D347" s="16" t="s">
        <v>1006</v>
      </c>
      <c r="E347" s="41" t="s">
        <v>1509</v>
      </c>
      <c r="F347" s="28"/>
      <c r="G347" s="2"/>
      <c r="H347" s="3"/>
      <c r="I347" s="2"/>
      <c r="J347" s="29"/>
      <c r="K347" s="3"/>
      <c r="L347" s="2"/>
      <c r="M347" s="8"/>
      <c r="N347" s="3"/>
      <c r="O347" s="2"/>
      <c r="P347" s="3"/>
      <c r="Q347" s="2"/>
      <c r="R347" s="3"/>
      <c r="S347" s="3"/>
      <c r="T347" s="2"/>
      <c r="U347" s="8">
        <f t="shared" si="42"/>
        <v>0</v>
      </c>
      <c r="V347" s="8"/>
      <c r="W347" s="8"/>
      <c r="X347" s="8"/>
      <c r="Y347" s="8"/>
      <c r="Z347" s="8"/>
      <c r="AA347" s="8"/>
      <c r="AB347" s="8"/>
      <c r="AC347" s="8">
        <f t="shared" si="43"/>
        <v>0</v>
      </c>
      <c r="AD347" s="8"/>
      <c r="AE347" s="8"/>
      <c r="AF347" s="8"/>
      <c r="AG347" s="8"/>
      <c r="AH347" s="8"/>
      <c r="AI347" s="8"/>
      <c r="AJ347" s="8"/>
      <c r="AK347" s="8"/>
      <c r="AL347" s="8"/>
      <c r="AM347" s="8">
        <v>59219347</v>
      </c>
      <c r="AN347" s="8">
        <f>SUBTOTAL(9,AC347:AM347)</f>
        <v>59219347</v>
      </c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>
        <v>39204545</v>
      </c>
      <c r="AZ347" s="8"/>
      <c r="BA347" s="8"/>
      <c r="BB347" s="8"/>
      <c r="BC347" s="8">
        <f t="shared" si="44"/>
        <v>98423892</v>
      </c>
      <c r="BD347" s="4">
        <v>39204545</v>
      </c>
      <c r="BE347" s="4">
        <f t="shared" si="45"/>
        <v>59219347</v>
      </c>
      <c r="BF347" s="30">
        <f t="shared" si="46"/>
        <v>98423892</v>
      </c>
      <c r="BG347" s="18">
        <f t="shared" si="47"/>
        <v>0</v>
      </c>
      <c r="BH347" s="23"/>
      <c r="BI347" s="23"/>
      <c r="BJ347" s="23"/>
    </row>
    <row r="348" spans="1:66" ht="15" customHeight="1" x14ac:dyDescent="0.2">
      <c r="A348" s="1">
        <v>8002139673</v>
      </c>
      <c r="B348" s="1">
        <v>800213967</v>
      </c>
      <c r="C348" s="15">
        <v>215068250</v>
      </c>
      <c r="D348" s="16" t="s">
        <v>1008</v>
      </c>
      <c r="E348" s="41" t="s">
        <v>1851</v>
      </c>
      <c r="F348" s="28"/>
      <c r="G348" s="2"/>
      <c r="H348" s="3"/>
      <c r="I348" s="2"/>
      <c r="J348" s="29"/>
      <c r="K348" s="3"/>
      <c r="L348" s="2"/>
      <c r="M348" s="8"/>
      <c r="N348" s="3"/>
      <c r="O348" s="2"/>
      <c r="P348" s="3"/>
      <c r="Q348" s="2"/>
      <c r="R348" s="3"/>
      <c r="S348" s="3"/>
      <c r="T348" s="2"/>
      <c r="U348" s="8">
        <f t="shared" si="42"/>
        <v>0</v>
      </c>
      <c r="V348" s="8"/>
      <c r="W348" s="8"/>
      <c r="X348" s="8"/>
      <c r="Y348" s="8"/>
      <c r="Z348" s="8"/>
      <c r="AA348" s="8"/>
      <c r="AB348" s="8"/>
      <c r="AC348" s="8">
        <f t="shared" si="43"/>
        <v>0</v>
      </c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>
        <v>44103405</v>
      </c>
      <c r="AZ348" s="8"/>
      <c r="BA348" s="8">
        <f>VLOOKUP(B348,[1]Hoja3!J$3:K$674,2,0)</f>
        <v>74629237</v>
      </c>
      <c r="BB348" s="8"/>
      <c r="BC348" s="8">
        <f t="shared" si="44"/>
        <v>118732642</v>
      </c>
      <c r="BD348" s="4">
        <v>44103405</v>
      </c>
      <c r="BE348" s="4">
        <f t="shared" si="45"/>
        <v>74629237</v>
      </c>
      <c r="BF348" s="30">
        <f t="shared" si="46"/>
        <v>118732642</v>
      </c>
      <c r="BG348" s="18">
        <f t="shared" si="47"/>
        <v>0</v>
      </c>
      <c r="BH348" s="23"/>
      <c r="BI348" s="23"/>
      <c r="BJ348" s="23"/>
    </row>
    <row r="349" spans="1:66" ht="15" customHeight="1" x14ac:dyDescent="0.2">
      <c r="A349" s="1">
        <v>8917800499</v>
      </c>
      <c r="B349" s="1">
        <v>891780049</v>
      </c>
      <c r="C349" s="15">
        <v>215847258</v>
      </c>
      <c r="D349" s="16" t="s">
        <v>646</v>
      </c>
      <c r="E349" s="41" t="s">
        <v>1666</v>
      </c>
      <c r="F349" s="28"/>
      <c r="G349" s="2"/>
      <c r="H349" s="3"/>
      <c r="I349" s="2"/>
      <c r="J349" s="29"/>
      <c r="K349" s="3"/>
      <c r="L349" s="2"/>
      <c r="M349" s="8"/>
      <c r="N349" s="3"/>
      <c r="O349" s="2"/>
      <c r="P349" s="3"/>
      <c r="Q349" s="2"/>
      <c r="R349" s="3"/>
      <c r="S349" s="3"/>
      <c r="T349" s="2"/>
      <c r="U349" s="8">
        <f t="shared" si="42"/>
        <v>0</v>
      </c>
      <c r="V349" s="8"/>
      <c r="W349" s="8"/>
      <c r="X349" s="8"/>
      <c r="Y349" s="8"/>
      <c r="Z349" s="8"/>
      <c r="AA349" s="8"/>
      <c r="AB349" s="8"/>
      <c r="AC349" s="8">
        <f t="shared" si="43"/>
        <v>0</v>
      </c>
      <c r="AD349" s="8"/>
      <c r="AE349" s="8"/>
      <c r="AF349" s="8"/>
      <c r="AG349" s="8"/>
      <c r="AH349" s="8"/>
      <c r="AI349" s="8"/>
      <c r="AJ349" s="8"/>
      <c r="AK349" s="8"/>
      <c r="AL349" s="8"/>
      <c r="AM349" s="8">
        <v>287436125</v>
      </c>
      <c r="AN349" s="8">
        <f t="shared" ref="AN349:AN358" si="48">SUBTOTAL(9,AC349:AM349)</f>
        <v>287436125</v>
      </c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>
        <f>VLOOKUP(B349,[1]Hoja3!J$3:K$674,2,0)</f>
        <v>65915154</v>
      </c>
      <c r="BB349" s="8"/>
      <c r="BC349" s="8">
        <f t="shared" si="44"/>
        <v>353351279</v>
      </c>
      <c r="BD349" s="4"/>
      <c r="BE349" s="4">
        <f t="shared" si="45"/>
        <v>353351279</v>
      </c>
      <c r="BF349" s="30">
        <f t="shared" si="46"/>
        <v>353351279</v>
      </c>
      <c r="BG349" s="18">
        <f t="shared" si="47"/>
        <v>0</v>
      </c>
      <c r="BH349" s="23"/>
      <c r="BI349" s="23"/>
      <c r="BJ349" s="23"/>
    </row>
    <row r="350" spans="1:66" ht="15" customHeight="1" x14ac:dyDescent="0.2">
      <c r="A350" s="1">
        <v>8902081990</v>
      </c>
      <c r="B350" s="1">
        <v>890208199</v>
      </c>
      <c r="C350" s="15">
        <v>215568255</v>
      </c>
      <c r="D350" s="16" t="s">
        <v>836</v>
      </c>
      <c r="E350" s="41" t="s">
        <v>1852</v>
      </c>
      <c r="F350" s="28"/>
      <c r="G350" s="2"/>
      <c r="H350" s="3"/>
      <c r="I350" s="2"/>
      <c r="J350" s="29"/>
      <c r="K350" s="3"/>
      <c r="L350" s="2"/>
      <c r="M350" s="8"/>
      <c r="N350" s="3"/>
      <c r="O350" s="2"/>
      <c r="P350" s="3"/>
      <c r="Q350" s="2"/>
      <c r="R350" s="3"/>
      <c r="S350" s="3"/>
      <c r="T350" s="2"/>
      <c r="U350" s="8">
        <f t="shared" si="42"/>
        <v>0</v>
      </c>
      <c r="V350" s="8"/>
      <c r="W350" s="8"/>
      <c r="X350" s="8"/>
      <c r="Y350" s="8"/>
      <c r="Z350" s="8"/>
      <c r="AA350" s="8"/>
      <c r="AB350" s="8"/>
      <c r="AC350" s="8">
        <f t="shared" si="43"/>
        <v>0</v>
      </c>
      <c r="AD350" s="8"/>
      <c r="AE350" s="8"/>
      <c r="AF350" s="8"/>
      <c r="AG350" s="8"/>
      <c r="AH350" s="8"/>
      <c r="AI350" s="8"/>
      <c r="AJ350" s="8"/>
      <c r="AK350" s="8"/>
      <c r="AL350" s="8"/>
      <c r="AM350" s="8">
        <v>218645859</v>
      </c>
      <c r="AN350" s="8">
        <f t="shared" si="48"/>
        <v>218645859</v>
      </c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>
        <v>93276510</v>
      </c>
      <c r="AZ350" s="8"/>
      <c r="BA350" s="8"/>
      <c r="BB350" s="8"/>
      <c r="BC350" s="8">
        <f t="shared" si="44"/>
        <v>311922369</v>
      </c>
      <c r="BD350" s="4">
        <v>93276510</v>
      </c>
      <c r="BE350" s="4">
        <f t="shared" si="45"/>
        <v>218645859</v>
      </c>
      <c r="BF350" s="30">
        <f t="shared" si="46"/>
        <v>311922369</v>
      </c>
      <c r="BG350" s="18">
        <f t="shared" si="47"/>
        <v>0</v>
      </c>
      <c r="BH350" s="23"/>
      <c r="BI350" s="23"/>
      <c r="BJ350" s="23"/>
    </row>
    <row r="351" spans="1:66" ht="15" customHeight="1" x14ac:dyDescent="0.2">
      <c r="A351" s="1">
        <v>8190009259</v>
      </c>
      <c r="B351" s="1">
        <v>819000925</v>
      </c>
      <c r="C351" s="15">
        <v>216847268</v>
      </c>
      <c r="D351" s="16" t="s">
        <v>647</v>
      </c>
      <c r="E351" s="41" t="s">
        <v>1667</v>
      </c>
      <c r="F351" s="28"/>
      <c r="G351" s="2"/>
      <c r="H351" s="3"/>
      <c r="I351" s="2"/>
      <c r="J351" s="29"/>
      <c r="K351" s="3"/>
      <c r="L351" s="2"/>
      <c r="M351" s="8"/>
      <c r="N351" s="3"/>
      <c r="O351" s="2"/>
      <c r="P351" s="3"/>
      <c r="Q351" s="2"/>
      <c r="R351" s="3"/>
      <c r="S351" s="3"/>
      <c r="T351" s="2"/>
      <c r="U351" s="8">
        <f t="shared" si="42"/>
        <v>0</v>
      </c>
      <c r="V351" s="8"/>
      <c r="W351" s="8"/>
      <c r="X351" s="8"/>
      <c r="Y351" s="8"/>
      <c r="Z351" s="8"/>
      <c r="AA351" s="8"/>
      <c r="AB351" s="8"/>
      <c r="AC351" s="8">
        <f t="shared" si="43"/>
        <v>0</v>
      </c>
      <c r="AD351" s="8"/>
      <c r="AE351" s="8"/>
      <c r="AF351" s="8"/>
      <c r="AG351" s="8"/>
      <c r="AH351" s="8"/>
      <c r="AI351" s="8"/>
      <c r="AJ351" s="8"/>
      <c r="AK351" s="8"/>
      <c r="AL351" s="8"/>
      <c r="AM351" s="8">
        <v>526203762</v>
      </c>
      <c r="AN351" s="8">
        <f t="shared" si="48"/>
        <v>526203762</v>
      </c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>
        <v>292403720</v>
      </c>
      <c r="AZ351" s="8"/>
      <c r="BA351" s="8"/>
      <c r="BB351" s="8">
        <f>VLOOKUP(B351,'[2]anuladas en mayo gratuidad}'!K$2:L$55,2,0)</f>
        <v>126273895</v>
      </c>
      <c r="BC351" s="8">
        <f t="shared" si="44"/>
        <v>692333587</v>
      </c>
      <c r="BD351" s="4">
        <v>292403720</v>
      </c>
      <c r="BE351" s="4">
        <f t="shared" si="45"/>
        <v>399929867</v>
      </c>
      <c r="BF351" s="30">
        <f t="shared" si="46"/>
        <v>692333587</v>
      </c>
      <c r="BG351" s="18">
        <f t="shared" si="47"/>
        <v>0</v>
      </c>
      <c r="BH351" s="23"/>
      <c r="BI351" s="23"/>
      <c r="BJ351" s="23"/>
    </row>
    <row r="352" spans="1:66" ht="15" customHeight="1" x14ac:dyDescent="0.2">
      <c r="A352" s="1">
        <v>8001914271</v>
      </c>
      <c r="B352" s="1">
        <v>800191427</v>
      </c>
      <c r="C352" s="15">
        <v>212595025</v>
      </c>
      <c r="D352" s="16" t="s">
        <v>992</v>
      </c>
      <c r="E352" s="41" t="s">
        <v>2050</v>
      </c>
      <c r="F352" s="28"/>
      <c r="G352" s="2"/>
      <c r="H352" s="3"/>
      <c r="I352" s="2"/>
      <c r="J352" s="29"/>
      <c r="K352" s="3"/>
      <c r="L352" s="2"/>
      <c r="M352" s="8"/>
      <c r="N352" s="3"/>
      <c r="O352" s="2"/>
      <c r="P352" s="3"/>
      <c r="Q352" s="2"/>
      <c r="R352" s="3"/>
      <c r="S352" s="3"/>
      <c r="T352" s="2"/>
      <c r="U352" s="8">
        <f t="shared" si="42"/>
        <v>0</v>
      </c>
      <c r="V352" s="8"/>
      <c r="W352" s="8"/>
      <c r="X352" s="8"/>
      <c r="Y352" s="8"/>
      <c r="Z352" s="8"/>
      <c r="AA352" s="8"/>
      <c r="AB352" s="8"/>
      <c r="AC352" s="8">
        <f t="shared" si="43"/>
        <v>0</v>
      </c>
      <c r="AD352" s="8"/>
      <c r="AE352" s="8"/>
      <c r="AF352" s="8"/>
      <c r="AG352" s="8"/>
      <c r="AH352" s="8"/>
      <c r="AI352" s="8"/>
      <c r="AJ352" s="8"/>
      <c r="AK352" s="8"/>
      <c r="AL352" s="8"/>
      <c r="AM352" s="8">
        <v>222441463</v>
      </c>
      <c r="AN352" s="8">
        <f t="shared" si="48"/>
        <v>222441463</v>
      </c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>
        <v>207984975</v>
      </c>
      <c r="AZ352" s="8"/>
      <c r="BA352" s="8"/>
      <c r="BB352" s="8"/>
      <c r="BC352" s="8">
        <f t="shared" si="44"/>
        <v>430426438</v>
      </c>
      <c r="BD352" s="4">
        <v>207984975</v>
      </c>
      <c r="BE352" s="4">
        <f t="shared" si="45"/>
        <v>222441463</v>
      </c>
      <c r="BF352" s="30">
        <f t="shared" si="46"/>
        <v>430426438</v>
      </c>
      <c r="BG352" s="18">
        <f t="shared" si="47"/>
        <v>0</v>
      </c>
      <c r="BH352" s="23"/>
      <c r="BI352" s="23"/>
      <c r="BJ352" s="23"/>
    </row>
    <row r="353" spans="1:66" ht="15" customHeight="1" x14ac:dyDescent="0.2">
      <c r="A353" s="1">
        <v>8230025955</v>
      </c>
      <c r="B353" s="1">
        <v>823002595</v>
      </c>
      <c r="C353" s="15">
        <v>213370233</v>
      </c>
      <c r="D353" s="16" t="s">
        <v>896</v>
      </c>
      <c r="E353" s="41" t="s">
        <v>1910</v>
      </c>
      <c r="F353" s="28"/>
      <c r="G353" s="2"/>
      <c r="H353" s="3"/>
      <c r="I353" s="2"/>
      <c r="J353" s="29"/>
      <c r="K353" s="3"/>
      <c r="L353" s="2"/>
      <c r="M353" s="8"/>
      <c r="N353" s="3"/>
      <c r="O353" s="2"/>
      <c r="P353" s="3"/>
      <c r="Q353" s="2"/>
      <c r="R353" s="3"/>
      <c r="S353" s="3"/>
      <c r="T353" s="2"/>
      <c r="U353" s="8">
        <f t="shared" si="42"/>
        <v>0</v>
      </c>
      <c r="V353" s="8"/>
      <c r="W353" s="8"/>
      <c r="X353" s="8"/>
      <c r="Y353" s="8"/>
      <c r="Z353" s="8"/>
      <c r="AA353" s="8"/>
      <c r="AB353" s="8"/>
      <c r="AC353" s="8">
        <f t="shared" si="43"/>
        <v>0</v>
      </c>
      <c r="AD353" s="8"/>
      <c r="AE353" s="8"/>
      <c r="AF353" s="8"/>
      <c r="AG353" s="8"/>
      <c r="AH353" s="8"/>
      <c r="AI353" s="8"/>
      <c r="AJ353" s="8"/>
      <c r="AK353" s="8"/>
      <c r="AL353" s="8"/>
      <c r="AM353" s="8">
        <v>37382790</v>
      </c>
      <c r="AN353" s="8">
        <f t="shared" si="48"/>
        <v>37382790</v>
      </c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>
        <f>VLOOKUP(B353,[1]Hoja3!J$3:K$674,2,0)</f>
        <v>143235066</v>
      </c>
      <c r="BB353" s="8"/>
      <c r="BC353" s="8">
        <f t="shared" si="44"/>
        <v>180617856</v>
      </c>
      <c r="BD353" s="4"/>
      <c r="BE353" s="4">
        <f t="shared" si="45"/>
        <v>180617856</v>
      </c>
      <c r="BF353" s="30">
        <f t="shared" si="46"/>
        <v>180617856</v>
      </c>
      <c r="BG353" s="18">
        <f t="shared" si="47"/>
        <v>0</v>
      </c>
      <c r="BH353" s="23"/>
      <c r="BI353" s="23"/>
      <c r="BJ353" s="23"/>
    </row>
    <row r="354" spans="1:66" ht="15" customHeight="1" x14ac:dyDescent="0.2">
      <c r="A354" s="1">
        <v>8320023184</v>
      </c>
      <c r="B354" s="1">
        <v>832002318</v>
      </c>
      <c r="C354" s="15">
        <v>216025260</v>
      </c>
      <c r="D354" s="16" t="s">
        <v>483</v>
      </c>
      <c r="E354" s="41" t="s">
        <v>1510</v>
      </c>
      <c r="F354" s="28"/>
      <c r="G354" s="2"/>
      <c r="H354" s="3"/>
      <c r="I354" s="2"/>
      <c r="J354" s="29"/>
      <c r="K354" s="3"/>
      <c r="L354" s="2"/>
      <c r="M354" s="8"/>
      <c r="N354" s="3"/>
      <c r="O354" s="2"/>
      <c r="P354" s="3"/>
      <c r="Q354" s="2"/>
      <c r="R354" s="3"/>
      <c r="S354" s="3"/>
      <c r="T354" s="2"/>
      <c r="U354" s="8">
        <f t="shared" si="42"/>
        <v>0</v>
      </c>
      <c r="V354" s="8"/>
      <c r="W354" s="8"/>
      <c r="X354" s="8"/>
      <c r="Y354" s="8"/>
      <c r="Z354" s="8"/>
      <c r="AA354" s="8"/>
      <c r="AB354" s="8"/>
      <c r="AC354" s="8">
        <f t="shared" si="43"/>
        <v>0</v>
      </c>
      <c r="AD354" s="8"/>
      <c r="AE354" s="8"/>
      <c r="AF354" s="8"/>
      <c r="AG354" s="8"/>
      <c r="AH354" s="8"/>
      <c r="AI354" s="8"/>
      <c r="AJ354" s="8"/>
      <c r="AK354" s="8"/>
      <c r="AL354" s="8"/>
      <c r="AM354" s="8">
        <v>228850982</v>
      </c>
      <c r="AN354" s="8">
        <f t="shared" si="48"/>
        <v>228850982</v>
      </c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>
        <v>82709495</v>
      </c>
      <c r="AZ354" s="8"/>
      <c r="BA354" s="8"/>
      <c r="BB354" s="8"/>
      <c r="BC354" s="8">
        <f t="shared" si="44"/>
        <v>311560477</v>
      </c>
      <c r="BD354" s="4">
        <v>82709495</v>
      </c>
      <c r="BE354" s="4">
        <f t="shared" si="45"/>
        <v>228850982</v>
      </c>
      <c r="BF354" s="30">
        <f t="shared" si="46"/>
        <v>311560477</v>
      </c>
      <c r="BG354" s="18">
        <f t="shared" si="47"/>
        <v>0</v>
      </c>
      <c r="BH354" s="23"/>
      <c r="BI354" s="23"/>
      <c r="BJ354" s="23"/>
    </row>
    <row r="355" spans="1:66" ht="15" customHeight="1" x14ac:dyDescent="0.2">
      <c r="A355" s="1">
        <v>8000990799</v>
      </c>
      <c r="B355" s="1">
        <v>800099079</v>
      </c>
      <c r="C355" s="15">
        <v>215652256</v>
      </c>
      <c r="D355" s="16" t="s">
        <v>707</v>
      </c>
      <c r="E355" s="41" t="s">
        <v>1731</v>
      </c>
      <c r="F355" s="28"/>
      <c r="G355" s="2"/>
      <c r="H355" s="3"/>
      <c r="I355" s="2"/>
      <c r="J355" s="29"/>
      <c r="K355" s="3"/>
      <c r="L355" s="2"/>
      <c r="M355" s="8"/>
      <c r="N355" s="3"/>
      <c r="O355" s="2"/>
      <c r="P355" s="3"/>
      <c r="Q355" s="2"/>
      <c r="R355" s="3"/>
      <c r="S355" s="3"/>
      <c r="T355" s="2"/>
      <c r="U355" s="8">
        <f t="shared" si="42"/>
        <v>0</v>
      </c>
      <c r="V355" s="8"/>
      <c r="W355" s="8"/>
      <c r="X355" s="8"/>
      <c r="Y355" s="8"/>
      <c r="Z355" s="8"/>
      <c r="AA355" s="8"/>
      <c r="AB355" s="8"/>
      <c r="AC355" s="8">
        <f t="shared" si="43"/>
        <v>0</v>
      </c>
      <c r="AD355" s="8"/>
      <c r="AE355" s="8"/>
      <c r="AF355" s="8"/>
      <c r="AG355" s="8"/>
      <c r="AH355" s="8"/>
      <c r="AI355" s="8"/>
      <c r="AJ355" s="8"/>
      <c r="AK355" s="8"/>
      <c r="AL355" s="8"/>
      <c r="AM355" s="8">
        <v>59938249</v>
      </c>
      <c r="AN355" s="8">
        <f t="shared" si="48"/>
        <v>59938249</v>
      </c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>
        <v>91548060</v>
      </c>
      <c r="AZ355" s="8"/>
      <c r="BA355" s="8">
        <f>VLOOKUP(B355,[1]Hoja3!J$3:K$674,2,0)</f>
        <v>40460291</v>
      </c>
      <c r="BB355" s="8"/>
      <c r="BC355" s="8">
        <f t="shared" si="44"/>
        <v>191946600</v>
      </c>
      <c r="BD355" s="4">
        <v>91548060</v>
      </c>
      <c r="BE355" s="4">
        <f t="shared" si="45"/>
        <v>100398540</v>
      </c>
      <c r="BF355" s="30">
        <f t="shared" si="46"/>
        <v>191946600</v>
      </c>
      <c r="BG355" s="18">
        <f t="shared" si="47"/>
        <v>0</v>
      </c>
      <c r="BH355" s="23"/>
      <c r="BI355" s="23"/>
      <c r="BJ355" s="23"/>
    </row>
    <row r="356" spans="1:66" ht="15" customHeight="1" x14ac:dyDescent="0.2">
      <c r="A356" s="1">
        <v>8909838138</v>
      </c>
      <c r="B356" s="1">
        <v>890983813</v>
      </c>
      <c r="C356" s="15">
        <v>219705697</v>
      </c>
      <c r="D356" s="16" t="s">
        <v>140</v>
      </c>
      <c r="E356" s="41" t="s">
        <v>1169</v>
      </c>
      <c r="F356" s="28"/>
      <c r="G356" s="2"/>
      <c r="H356" s="3"/>
      <c r="I356" s="2"/>
      <c r="J356" s="29"/>
      <c r="K356" s="3"/>
      <c r="L356" s="2"/>
      <c r="M356" s="8"/>
      <c r="N356" s="3"/>
      <c r="O356" s="2"/>
      <c r="P356" s="3"/>
      <c r="Q356" s="2"/>
      <c r="R356" s="3"/>
      <c r="S356" s="3"/>
      <c r="T356" s="2"/>
      <c r="U356" s="8">
        <f t="shared" si="42"/>
        <v>0</v>
      </c>
      <c r="V356" s="8"/>
      <c r="W356" s="8"/>
      <c r="X356" s="8"/>
      <c r="Y356" s="8"/>
      <c r="Z356" s="8"/>
      <c r="AA356" s="8"/>
      <c r="AB356" s="8"/>
      <c r="AC356" s="8">
        <f t="shared" si="43"/>
        <v>0</v>
      </c>
      <c r="AD356" s="8"/>
      <c r="AE356" s="8"/>
      <c r="AF356" s="8"/>
      <c r="AG356" s="8"/>
      <c r="AH356" s="8"/>
      <c r="AI356" s="8"/>
      <c r="AJ356" s="8"/>
      <c r="AK356" s="8"/>
      <c r="AL356" s="8"/>
      <c r="AM356" s="8">
        <v>154939389</v>
      </c>
      <c r="AN356" s="8">
        <f t="shared" si="48"/>
        <v>154939389</v>
      </c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>
        <v>168359175</v>
      </c>
      <c r="AZ356" s="8"/>
      <c r="BA356" s="8">
        <f>VLOOKUP(B356,[1]Hoja3!J$3:K$674,2,0)</f>
        <v>263394022</v>
      </c>
      <c r="BB356" s="8"/>
      <c r="BC356" s="8">
        <f t="shared" si="44"/>
        <v>586692586</v>
      </c>
      <c r="BD356" s="4">
        <v>168359175</v>
      </c>
      <c r="BE356" s="4">
        <f t="shared" si="45"/>
        <v>418333411</v>
      </c>
      <c r="BF356" s="30">
        <f t="shared" si="46"/>
        <v>586692586</v>
      </c>
      <c r="BG356" s="18">
        <f t="shared" si="47"/>
        <v>0</v>
      </c>
      <c r="BH356" s="23"/>
      <c r="BI356" s="23"/>
      <c r="BJ356" s="23"/>
    </row>
    <row r="357" spans="1:66" ht="15" customHeight="1" x14ac:dyDescent="0.2">
      <c r="A357" s="1">
        <v>8000990807</v>
      </c>
      <c r="B357" s="1">
        <v>800099080</v>
      </c>
      <c r="C357" s="15">
        <v>215852258</v>
      </c>
      <c r="D357" s="16" t="s">
        <v>708</v>
      </c>
      <c r="E357" s="41" t="s">
        <v>1732</v>
      </c>
      <c r="F357" s="28"/>
      <c r="G357" s="2"/>
      <c r="H357" s="3"/>
      <c r="I357" s="2"/>
      <c r="J357" s="29"/>
      <c r="K357" s="3"/>
      <c r="L357" s="2"/>
      <c r="M357" s="8"/>
      <c r="N357" s="3"/>
      <c r="O357" s="2"/>
      <c r="P357" s="3"/>
      <c r="Q357" s="2"/>
      <c r="R357" s="3"/>
      <c r="S357" s="3"/>
      <c r="T357" s="2"/>
      <c r="U357" s="8">
        <f t="shared" si="42"/>
        <v>0</v>
      </c>
      <c r="V357" s="8"/>
      <c r="W357" s="8"/>
      <c r="X357" s="8"/>
      <c r="Y357" s="8"/>
      <c r="Z357" s="8"/>
      <c r="AA357" s="8"/>
      <c r="AB357" s="8"/>
      <c r="AC357" s="8">
        <f t="shared" si="43"/>
        <v>0</v>
      </c>
      <c r="AD357" s="8"/>
      <c r="AE357" s="8"/>
      <c r="AF357" s="8"/>
      <c r="AG357" s="8"/>
      <c r="AH357" s="8"/>
      <c r="AI357" s="8"/>
      <c r="AJ357" s="8"/>
      <c r="AK357" s="8"/>
      <c r="AL357" s="8"/>
      <c r="AM357" s="8">
        <v>226095861</v>
      </c>
      <c r="AN357" s="8">
        <f t="shared" si="48"/>
        <v>226095861</v>
      </c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>
        <v>117994050</v>
      </c>
      <c r="AZ357" s="8"/>
      <c r="BA357" s="8"/>
      <c r="BB357" s="8"/>
      <c r="BC357" s="8">
        <f t="shared" si="44"/>
        <v>344089911</v>
      </c>
      <c r="BD357" s="4">
        <v>117994050</v>
      </c>
      <c r="BE357" s="4">
        <f t="shared" si="45"/>
        <v>226095861</v>
      </c>
      <c r="BF357" s="30">
        <f t="shared" si="46"/>
        <v>344089911</v>
      </c>
      <c r="BG357" s="18">
        <f t="shared" si="47"/>
        <v>0</v>
      </c>
      <c r="BH357" s="23"/>
      <c r="BI357" s="23"/>
      <c r="BJ357" s="23"/>
    </row>
    <row r="358" spans="1:66" ht="15" customHeight="1" x14ac:dyDescent="0.2">
      <c r="A358" s="1">
        <v>8915009786</v>
      </c>
      <c r="B358" s="1">
        <v>891500978</v>
      </c>
      <c r="C358" s="15">
        <v>215619256</v>
      </c>
      <c r="D358" s="16" t="s">
        <v>382</v>
      </c>
      <c r="E358" s="58" t="s">
        <v>2104</v>
      </c>
      <c r="F358" s="28"/>
      <c r="G358" s="2"/>
      <c r="H358" s="3"/>
      <c r="I358" s="2"/>
      <c r="J358" s="29"/>
      <c r="K358" s="3"/>
      <c r="L358" s="2"/>
      <c r="M358" s="8"/>
      <c r="N358" s="3"/>
      <c r="O358" s="2"/>
      <c r="P358" s="3"/>
      <c r="Q358" s="2"/>
      <c r="R358" s="3"/>
      <c r="S358" s="3"/>
      <c r="T358" s="2"/>
      <c r="U358" s="8">
        <f t="shared" si="42"/>
        <v>0</v>
      </c>
      <c r="V358" s="8"/>
      <c r="W358" s="8"/>
      <c r="X358" s="8"/>
      <c r="Y358" s="8"/>
      <c r="Z358" s="8"/>
      <c r="AA358" s="8"/>
      <c r="AB358" s="8"/>
      <c r="AC358" s="8">
        <f t="shared" si="43"/>
        <v>0</v>
      </c>
      <c r="AD358" s="8"/>
      <c r="AE358" s="8"/>
      <c r="AF358" s="8"/>
      <c r="AG358" s="8"/>
      <c r="AH358" s="8"/>
      <c r="AI358" s="8"/>
      <c r="AJ358" s="8"/>
      <c r="AK358" s="8"/>
      <c r="AL358" s="8"/>
      <c r="AM358" s="8">
        <v>191512871</v>
      </c>
      <c r="AN358" s="8">
        <f t="shared" si="48"/>
        <v>191512871</v>
      </c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>
        <f>VLOOKUP(B358,[1]Hoja3!J$3:K$674,2,0)</f>
        <v>367735282</v>
      </c>
      <c r="BB358" s="8"/>
      <c r="BC358" s="8">
        <f t="shared" si="44"/>
        <v>559248153</v>
      </c>
      <c r="BD358" s="4"/>
      <c r="BE358" s="4">
        <f t="shared" si="45"/>
        <v>559248153</v>
      </c>
      <c r="BF358" s="30">
        <f t="shared" si="46"/>
        <v>559248153</v>
      </c>
      <c r="BG358" s="18">
        <f t="shared" si="47"/>
        <v>0</v>
      </c>
      <c r="BH358" s="23"/>
      <c r="BI358" s="23"/>
      <c r="BJ358" s="23"/>
    </row>
    <row r="359" spans="1:66" ht="15" customHeight="1" x14ac:dyDescent="0.2">
      <c r="A359" s="1">
        <v>8000990846</v>
      </c>
      <c r="B359" s="1">
        <v>800099084</v>
      </c>
      <c r="C359" s="15">
        <v>216052260</v>
      </c>
      <c r="D359" s="16" t="s">
        <v>709</v>
      </c>
      <c r="E359" s="41" t="s">
        <v>1733</v>
      </c>
      <c r="F359" s="28"/>
      <c r="G359" s="17"/>
      <c r="H359" s="3"/>
      <c r="I359" s="2"/>
      <c r="J359" s="29"/>
      <c r="K359" s="3"/>
      <c r="L359" s="17"/>
      <c r="M359" s="34"/>
      <c r="N359" s="3"/>
      <c r="O359" s="17"/>
      <c r="P359" s="3"/>
      <c r="Q359" s="2"/>
      <c r="R359" s="3"/>
      <c r="S359" s="3"/>
      <c r="T359" s="17"/>
      <c r="U359" s="8">
        <f t="shared" si="42"/>
        <v>0</v>
      </c>
      <c r="V359" s="8"/>
      <c r="W359" s="8"/>
      <c r="X359" s="8"/>
      <c r="Y359" s="8"/>
      <c r="Z359" s="8"/>
      <c r="AA359" s="8"/>
      <c r="AB359" s="8"/>
      <c r="AC359" s="8">
        <f t="shared" si="43"/>
        <v>0</v>
      </c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>
        <v>107894040</v>
      </c>
      <c r="AZ359" s="8"/>
      <c r="BA359" s="8">
        <f>VLOOKUP(B359,[1]Hoja3!J$3:K$674,2,0)</f>
        <v>66158805</v>
      </c>
      <c r="BB359" s="8"/>
      <c r="BC359" s="8">
        <f t="shared" si="44"/>
        <v>174052845</v>
      </c>
      <c r="BD359" s="4">
        <v>107894040</v>
      </c>
      <c r="BE359" s="4">
        <f t="shared" si="45"/>
        <v>66158805</v>
      </c>
      <c r="BF359" s="30">
        <f t="shared" si="46"/>
        <v>174052845</v>
      </c>
      <c r="BG359" s="18">
        <f t="shared" si="47"/>
        <v>0</v>
      </c>
      <c r="BH359" s="23"/>
      <c r="BI359" s="14"/>
      <c r="BJ359" s="14"/>
      <c r="BK359" s="14"/>
      <c r="BL359" s="14"/>
      <c r="BM359" s="14"/>
      <c r="BN359" s="14"/>
    </row>
    <row r="360" spans="1:66" ht="15" customHeight="1" x14ac:dyDescent="0.2">
      <c r="A360" s="1">
        <v>8001389593</v>
      </c>
      <c r="B360" s="1">
        <v>800138959</v>
      </c>
      <c r="C360" s="15">
        <v>215054250</v>
      </c>
      <c r="D360" s="16" t="s">
        <v>763</v>
      </c>
      <c r="E360" s="41" t="s">
        <v>1782</v>
      </c>
      <c r="F360" s="28"/>
      <c r="G360" s="17"/>
      <c r="H360" s="3"/>
      <c r="I360" s="2"/>
      <c r="J360" s="29"/>
      <c r="K360" s="3"/>
      <c r="L360" s="17"/>
      <c r="M360" s="34"/>
      <c r="N360" s="3"/>
      <c r="O360" s="17"/>
      <c r="P360" s="3"/>
      <c r="Q360" s="2"/>
      <c r="R360" s="3"/>
      <c r="S360" s="3"/>
      <c r="T360" s="17"/>
      <c r="U360" s="8">
        <f t="shared" si="42"/>
        <v>0</v>
      </c>
      <c r="V360" s="8"/>
      <c r="W360" s="8"/>
      <c r="X360" s="8"/>
      <c r="Y360" s="8"/>
      <c r="Z360" s="8"/>
      <c r="AA360" s="8"/>
      <c r="AB360" s="8"/>
      <c r="AC360" s="8">
        <f t="shared" si="43"/>
        <v>0</v>
      </c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>
        <v>268613035</v>
      </c>
      <c r="AZ360" s="8"/>
      <c r="BA360" s="8">
        <f>VLOOKUP(B360,[1]Hoja3!J$3:K$674,2,0)</f>
        <v>185456787</v>
      </c>
      <c r="BB360" s="8"/>
      <c r="BC360" s="8">
        <f t="shared" si="44"/>
        <v>454069822</v>
      </c>
      <c r="BD360" s="4">
        <v>268613035</v>
      </c>
      <c r="BE360" s="4">
        <f t="shared" si="45"/>
        <v>185456787</v>
      </c>
      <c r="BF360" s="30">
        <f t="shared" si="46"/>
        <v>454069822</v>
      </c>
      <c r="BG360" s="18">
        <f t="shared" si="47"/>
        <v>0</v>
      </c>
      <c r="BH360" s="23"/>
      <c r="BI360" s="14"/>
      <c r="BJ360" s="14"/>
      <c r="BK360" s="14"/>
      <c r="BL360" s="14"/>
      <c r="BM360" s="14"/>
      <c r="BN360" s="14"/>
    </row>
    <row r="361" spans="1:66" ht="15" customHeight="1" x14ac:dyDescent="0.2">
      <c r="A361" s="1">
        <v>8000398039</v>
      </c>
      <c r="B361" s="1">
        <v>800039803</v>
      </c>
      <c r="C361" s="15">
        <v>216154261</v>
      </c>
      <c r="D361" s="16" t="s">
        <v>764</v>
      </c>
      <c r="E361" s="41" t="s">
        <v>1783</v>
      </c>
      <c r="F361" s="28"/>
      <c r="G361" s="2"/>
      <c r="H361" s="3"/>
      <c r="I361" s="2"/>
      <c r="J361" s="29"/>
      <c r="K361" s="3"/>
      <c r="L361" s="2"/>
      <c r="M361" s="8"/>
      <c r="N361" s="3"/>
      <c r="O361" s="2"/>
      <c r="P361" s="3"/>
      <c r="Q361" s="2"/>
      <c r="R361" s="3"/>
      <c r="S361" s="3"/>
      <c r="T361" s="2"/>
      <c r="U361" s="8">
        <f t="shared" si="42"/>
        <v>0</v>
      </c>
      <c r="V361" s="8"/>
      <c r="W361" s="8"/>
      <c r="X361" s="8"/>
      <c r="Y361" s="8"/>
      <c r="Z361" s="8"/>
      <c r="AA361" s="8"/>
      <c r="AB361" s="8"/>
      <c r="AC361" s="8">
        <f t="shared" si="43"/>
        <v>0</v>
      </c>
      <c r="AD361" s="8"/>
      <c r="AE361" s="8"/>
      <c r="AF361" s="8"/>
      <c r="AG361" s="8"/>
      <c r="AH361" s="8"/>
      <c r="AI361" s="8"/>
      <c r="AJ361" s="8"/>
      <c r="AK361" s="8"/>
      <c r="AL361" s="8"/>
      <c r="AM361" s="8">
        <v>266005079</v>
      </c>
      <c r="AN361" s="8">
        <f>SUBTOTAL(9,AC361:AM361)</f>
        <v>266005079</v>
      </c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>
        <v>194947555</v>
      </c>
      <c r="AZ361" s="8"/>
      <c r="BA361" s="8">
        <f>VLOOKUP(B361,[1]Hoja3!J$3:K$674,2,0)</f>
        <v>144451766</v>
      </c>
      <c r="BB361" s="8"/>
      <c r="BC361" s="8">
        <f t="shared" si="44"/>
        <v>605404400</v>
      </c>
      <c r="BD361" s="4">
        <v>194947555</v>
      </c>
      <c r="BE361" s="4">
        <f t="shared" si="45"/>
        <v>410456845</v>
      </c>
      <c r="BF361" s="30">
        <f t="shared" si="46"/>
        <v>605404400</v>
      </c>
      <c r="BG361" s="18">
        <f t="shared" si="47"/>
        <v>0</v>
      </c>
      <c r="BH361" s="23"/>
      <c r="BI361" s="23"/>
      <c r="BJ361" s="23"/>
    </row>
    <row r="362" spans="1:66" ht="15" customHeight="1" x14ac:dyDescent="0.2">
      <c r="A362" s="1">
        <v>8911801328</v>
      </c>
      <c r="B362" s="1">
        <v>891180132</v>
      </c>
      <c r="C362" s="15">
        <v>214441244</v>
      </c>
      <c r="D362" s="16" t="s">
        <v>601</v>
      </c>
      <c r="E362" s="41" t="s">
        <v>1621</v>
      </c>
      <c r="F362" s="28"/>
      <c r="G362" s="2"/>
      <c r="H362" s="3"/>
      <c r="I362" s="2"/>
      <c r="J362" s="29"/>
      <c r="K362" s="3"/>
      <c r="L362" s="2"/>
      <c r="M362" s="8"/>
      <c r="N362" s="3"/>
      <c r="O362" s="2"/>
      <c r="P362" s="3"/>
      <c r="Q362" s="2"/>
      <c r="R362" s="3"/>
      <c r="S362" s="3"/>
      <c r="T362" s="2"/>
      <c r="U362" s="8">
        <f t="shared" si="42"/>
        <v>0</v>
      </c>
      <c r="V362" s="8"/>
      <c r="W362" s="8"/>
      <c r="X362" s="8"/>
      <c r="Y362" s="8"/>
      <c r="Z362" s="8"/>
      <c r="AA362" s="8"/>
      <c r="AB362" s="8"/>
      <c r="AC362" s="8">
        <f t="shared" si="43"/>
        <v>0</v>
      </c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>
        <f>VLOOKUP(B362,[1]Hoja3!J$3:K$674,2,0)</f>
        <v>62341337</v>
      </c>
      <c r="BB362" s="8"/>
      <c r="BC362" s="8">
        <f t="shared" si="44"/>
        <v>62341337</v>
      </c>
      <c r="BD362" s="4"/>
      <c r="BE362" s="4">
        <f t="shared" si="45"/>
        <v>62341337</v>
      </c>
      <c r="BF362" s="30">
        <f t="shared" si="46"/>
        <v>62341337</v>
      </c>
      <c r="BG362" s="18">
        <f t="shared" si="47"/>
        <v>0</v>
      </c>
      <c r="BH362" s="23"/>
      <c r="BI362" s="23"/>
      <c r="BJ362" s="23"/>
    </row>
    <row r="363" spans="1:66" ht="15" customHeight="1" x14ac:dyDescent="0.2">
      <c r="A363" s="1">
        <v>8902051141</v>
      </c>
      <c r="B363" s="1">
        <v>890205114</v>
      </c>
      <c r="C363" s="15">
        <v>216468264</v>
      </c>
      <c r="D363" s="16" t="s">
        <v>837</v>
      </c>
      <c r="E363" s="41" t="s">
        <v>1853</v>
      </c>
      <c r="F363" s="28"/>
      <c r="G363" s="2"/>
      <c r="H363" s="3"/>
      <c r="I363" s="2"/>
      <c r="J363" s="29"/>
      <c r="K363" s="3"/>
      <c r="L363" s="2"/>
      <c r="M363" s="8"/>
      <c r="N363" s="3"/>
      <c r="O363" s="2"/>
      <c r="P363" s="3"/>
      <c r="Q363" s="2"/>
      <c r="R363" s="3"/>
      <c r="S363" s="3"/>
      <c r="T363" s="2"/>
      <c r="U363" s="8">
        <f t="shared" si="42"/>
        <v>0</v>
      </c>
      <c r="V363" s="8"/>
      <c r="W363" s="8"/>
      <c r="X363" s="8"/>
      <c r="Y363" s="8"/>
      <c r="Z363" s="8"/>
      <c r="AA363" s="8"/>
      <c r="AB363" s="8"/>
      <c r="AC363" s="8">
        <f t="shared" si="43"/>
        <v>0</v>
      </c>
      <c r="AD363" s="8"/>
      <c r="AE363" s="8"/>
      <c r="AF363" s="8"/>
      <c r="AG363" s="8"/>
      <c r="AH363" s="8"/>
      <c r="AI363" s="8"/>
      <c r="AJ363" s="8"/>
      <c r="AK363" s="8"/>
      <c r="AL363" s="8"/>
      <c r="AM363" s="8">
        <v>36591777</v>
      </c>
      <c r="AN363" s="8">
        <f t="shared" ref="AN363:AN368" si="49">SUBTOTAL(9,AC363:AM363)</f>
        <v>36591777</v>
      </c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>
        <v>18003620</v>
      </c>
      <c r="AZ363" s="8"/>
      <c r="BA363" s="8"/>
      <c r="BB363" s="8"/>
      <c r="BC363" s="8">
        <f t="shared" si="44"/>
        <v>54595397</v>
      </c>
      <c r="BD363" s="4">
        <v>18003620</v>
      </c>
      <c r="BE363" s="4">
        <f t="shared" si="45"/>
        <v>36591777</v>
      </c>
      <c r="BF363" s="30">
        <f t="shared" si="46"/>
        <v>54595397</v>
      </c>
      <c r="BG363" s="18">
        <f t="shared" si="47"/>
        <v>0</v>
      </c>
      <c r="BH363" s="23"/>
      <c r="BI363" s="23"/>
      <c r="BJ363" s="23"/>
    </row>
    <row r="364" spans="1:66" ht="15" customHeight="1" x14ac:dyDescent="0.2">
      <c r="A364" s="1">
        <v>8902096663</v>
      </c>
      <c r="B364" s="1">
        <v>890209666</v>
      </c>
      <c r="C364" s="15">
        <v>216668266</v>
      </c>
      <c r="D364" s="16" t="s">
        <v>838</v>
      </c>
      <c r="E364" s="41" t="s">
        <v>1854</v>
      </c>
      <c r="F364" s="28"/>
      <c r="G364" s="2"/>
      <c r="H364" s="3"/>
      <c r="I364" s="2"/>
      <c r="J364" s="29"/>
      <c r="K364" s="3"/>
      <c r="L364" s="2"/>
      <c r="M364" s="8"/>
      <c r="N364" s="3"/>
      <c r="O364" s="2"/>
      <c r="P364" s="3"/>
      <c r="Q364" s="2"/>
      <c r="R364" s="3"/>
      <c r="S364" s="3"/>
      <c r="T364" s="2"/>
      <c r="U364" s="8">
        <f t="shared" si="42"/>
        <v>0</v>
      </c>
      <c r="V364" s="8"/>
      <c r="W364" s="8"/>
      <c r="X364" s="8"/>
      <c r="Y364" s="8"/>
      <c r="Z364" s="8"/>
      <c r="AA364" s="8"/>
      <c r="AB364" s="8"/>
      <c r="AC364" s="8">
        <f t="shared" si="43"/>
        <v>0</v>
      </c>
      <c r="AD364" s="8"/>
      <c r="AE364" s="8"/>
      <c r="AF364" s="8"/>
      <c r="AG364" s="8"/>
      <c r="AH364" s="8"/>
      <c r="AI364" s="8"/>
      <c r="AJ364" s="8"/>
      <c r="AK364" s="8"/>
      <c r="AL364" s="8"/>
      <c r="AM364" s="8">
        <v>52400503</v>
      </c>
      <c r="AN364" s="8">
        <f t="shared" si="49"/>
        <v>52400503</v>
      </c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>
        <v>28530425</v>
      </c>
      <c r="AZ364" s="8"/>
      <c r="BA364" s="8"/>
      <c r="BB364" s="8"/>
      <c r="BC364" s="8">
        <f t="shared" si="44"/>
        <v>80930928</v>
      </c>
      <c r="BD364" s="4">
        <v>28530425</v>
      </c>
      <c r="BE364" s="4">
        <f t="shared" si="45"/>
        <v>52400503</v>
      </c>
      <c r="BF364" s="30">
        <f t="shared" si="46"/>
        <v>80930928</v>
      </c>
      <c r="BG364" s="18">
        <f t="shared" si="47"/>
        <v>0</v>
      </c>
      <c r="BH364" s="23"/>
      <c r="BI364" s="23"/>
      <c r="BJ364" s="23"/>
    </row>
    <row r="365" spans="1:66" ht="15" customHeight="1" x14ac:dyDescent="0.2">
      <c r="A365" s="1">
        <v>8909820682</v>
      </c>
      <c r="B365" s="1">
        <v>890982068</v>
      </c>
      <c r="C365" s="15">
        <v>216405264</v>
      </c>
      <c r="D365" s="16" t="s">
        <v>86</v>
      </c>
      <c r="E365" s="41" t="s">
        <v>1117</v>
      </c>
      <c r="F365" s="28"/>
      <c r="G365" s="2"/>
      <c r="H365" s="3"/>
      <c r="I365" s="2"/>
      <c r="J365" s="29"/>
      <c r="K365" s="3"/>
      <c r="L365" s="2"/>
      <c r="M365" s="8"/>
      <c r="N365" s="3"/>
      <c r="O365" s="2"/>
      <c r="P365" s="3"/>
      <c r="Q365" s="2"/>
      <c r="R365" s="3"/>
      <c r="S365" s="3"/>
      <c r="T365" s="2"/>
      <c r="U365" s="8">
        <f t="shared" si="42"/>
        <v>0</v>
      </c>
      <c r="V365" s="8"/>
      <c r="W365" s="8"/>
      <c r="X365" s="8"/>
      <c r="Y365" s="8"/>
      <c r="Z365" s="8"/>
      <c r="AA365" s="8"/>
      <c r="AB365" s="8"/>
      <c r="AC365" s="8">
        <f t="shared" si="43"/>
        <v>0</v>
      </c>
      <c r="AD365" s="8"/>
      <c r="AE365" s="8"/>
      <c r="AF365" s="8"/>
      <c r="AG365" s="8"/>
      <c r="AH365" s="8"/>
      <c r="AI365" s="8"/>
      <c r="AJ365" s="8"/>
      <c r="AK365" s="8"/>
      <c r="AL365" s="8"/>
      <c r="AM365" s="8">
        <v>117715313</v>
      </c>
      <c r="AN365" s="8">
        <f t="shared" si="49"/>
        <v>117715313</v>
      </c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>
        <v>50577130</v>
      </c>
      <c r="AZ365" s="8"/>
      <c r="BA365" s="8"/>
      <c r="BB365" s="8"/>
      <c r="BC365" s="8">
        <f t="shared" si="44"/>
        <v>168292443</v>
      </c>
      <c r="BD365" s="4">
        <v>50577130</v>
      </c>
      <c r="BE365" s="4">
        <f t="shared" si="45"/>
        <v>117715313</v>
      </c>
      <c r="BF365" s="30">
        <f t="shared" si="46"/>
        <v>168292443</v>
      </c>
      <c r="BG365" s="18">
        <f t="shared" si="47"/>
        <v>0</v>
      </c>
      <c r="BH365" s="23"/>
      <c r="BI365" s="23"/>
      <c r="BJ365" s="23"/>
    </row>
    <row r="366" spans="1:66" ht="15" customHeight="1" x14ac:dyDescent="0.2">
      <c r="A366" s="1">
        <v>8909071065</v>
      </c>
      <c r="B366" s="1">
        <v>890907106</v>
      </c>
      <c r="C366" s="15">
        <v>216605266</v>
      </c>
      <c r="D366" s="16" t="s">
        <v>2159</v>
      </c>
      <c r="E366" s="53" t="s">
        <v>1049</v>
      </c>
      <c r="F366" s="28"/>
      <c r="G366" s="2"/>
      <c r="H366" s="3"/>
      <c r="I366" s="2">
        <f>2130216366+95794453</f>
        <v>2226010819</v>
      </c>
      <c r="J366" s="29">
        <v>165734630</v>
      </c>
      <c r="K366" s="3">
        <v>328365391</v>
      </c>
      <c r="L366" s="2"/>
      <c r="M366" s="37">
        <f>SUM(F366:L366)</f>
        <v>2720110840</v>
      </c>
      <c r="N366" s="3"/>
      <c r="O366" s="2"/>
      <c r="P366" s="3"/>
      <c r="Q366" s="2">
        <f>2069475424+43542933</f>
        <v>2113018357</v>
      </c>
      <c r="R366" s="3">
        <v>165991302</v>
      </c>
      <c r="S366" s="3">
        <f>162630761+165991302</f>
        <v>328622063</v>
      </c>
      <c r="T366" s="2"/>
      <c r="U366" s="8">
        <f t="shared" si="42"/>
        <v>5327742562</v>
      </c>
      <c r="V366" s="8"/>
      <c r="W366" s="8"/>
      <c r="X366" s="8"/>
      <c r="Y366" s="8">
        <v>3763631457</v>
      </c>
      <c r="Z366" s="8">
        <v>179877808</v>
      </c>
      <c r="AA366" s="8">
        <v>412575938</v>
      </c>
      <c r="AB366" s="8"/>
      <c r="AC366" s="8">
        <f t="shared" si="43"/>
        <v>9683827765</v>
      </c>
      <c r="AD366" s="8"/>
      <c r="AE366" s="8"/>
      <c r="AF366" s="8"/>
      <c r="AG366" s="8"/>
      <c r="AH366" s="8">
        <v>2357126986</v>
      </c>
      <c r="AI366" s="8">
        <v>381036788</v>
      </c>
      <c r="AJ366" s="8">
        <v>177806308</v>
      </c>
      <c r="AK366" s="8">
        <v>447584777</v>
      </c>
      <c r="AL366" s="8"/>
      <c r="AM366" s="8">
        <v>1255278627</v>
      </c>
      <c r="AN366" s="8">
        <f t="shared" si="49"/>
        <v>14302661251</v>
      </c>
      <c r="AO366" s="8"/>
      <c r="AP366" s="8"/>
      <c r="AQ366" s="8">
        <v>372498345</v>
      </c>
      <c r="AR366" s="8"/>
      <c r="AS366" s="8"/>
      <c r="AT366" s="8">
        <v>2357126986</v>
      </c>
      <c r="AU366" s="8"/>
      <c r="AV366" s="8">
        <v>177806308</v>
      </c>
      <c r="AW366" s="8">
        <v>303235341</v>
      </c>
      <c r="AX366" s="8"/>
      <c r="AY366" s="8"/>
      <c r="AZ366" s="8"/>
      <c r="BA366" s="8"/>
      <c r="BB366" s="8">
        <f>VLOOKUP(B366,'[2]anuladas en mayo gratuidad}'!K$2:L$55,2,0)</f>
        <v>10074578</v>
      </c>
      <c r="BC366" s="8">
        <f t="shared" si="44"/>
        <v>17503253653</v>
      </c>
      <c r="BD366" s="4">
        <v>16258049604</v>
      </c>
      <c r="BE366" s="4">
        <f t="shared" si="45"/>
        <v>1245204049</v>
      </c>
      <c r="BF366" s="30">
        <f t="shared" si="46"/>
        <v>17503253653</v>
      </c>
      <c r="BG366" s="18">
        <f t="shared" si="47"/>
        <v>0</v>
      </c>
      <c r="BH366" s="23"/>
      <c r="BI366" s="23"/>
      <c r="BJ366" s="23"/>
    </row>
    <row r="367" spans="1:66" ht="15" customHeight="1" x14ac:dyDescent="0.2">
      <c r="A367" s="1">
        <v>8907020270</v>
      </c>
      <c r="B367" s="1">
        <v>890702027</v>
      </c>
      <c r="C367" s="15">
        <v>216873268</v>
      </c>
      <c r="D367" s="16" t="s">
        <v>2217</v>
      </c>
      <c r="E367" s="41" t="s">
        <v>2067</v>
      </c>
      <c r="F367" s="28"/>
      <c r="G367" s="2"/>
      <c r="H367" s="3"/>
      <c r="I367" s="2"/>
      <c r="J367" s="29"/>
      <c r="K367" s="3"/>
      <c r="L367" s="2"/>
      <c r="M367" s="8"/>
      <c r="N367" s="3"/>
      <c r="O367" s="2"/>
      <c r="P367" s="3"/>
      <c r="Q367" s="2"/>
      <c r="R367" s="3"/>
      <c r="S367" s="3"/>
      <c r="T367" s="2"/>
      <c r="U367" s="8">
        <f t="shared" si="42"/>
        <v>0</v>
      </c>
      <c r="V367" s="8"/>
      <c r="W367" s="8"/>
      <c r="X367" s="8"/>
      <c r="Y367" s="8"/>
      <c r="Z367" s="8"/>
      <c r="AA367" s="8"/>
      <c r="AB367" s="8"/>
      <c r="AC367" s="8">
        <f t="shared" si="43"/>
        <v>0</v>
      </c>
      <c r="AD367" s="8"/>
      <c r="AE367" s="8"/>
      <c r="AF367" s="8"/>
      <c r="AG367" s="8"/>
      <c r="AH367" s="8"/>
      <c r="AI367" s="8"/>
      <c r="AJ367" s="8"/>
      <c r="AK367" s="8"/>
      <c r="AL367" s="8"/>
      <c r="AM367" s="8">
        <v>797612320</v>
      </c>
      <c r="AN367" s="8">
        <f t="shared" si="49"/>
        <v>797612320</v>
      </c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>
        <v>410914665</v>
      </c>
      <c r="AZ367" s="8"/>
      <c r="BA367" s="8">
        <f>VLOOKUP(B367,[1]Hoja3!J$3:K$674,2,0)</f>
        <v>42532970</v>
      </c>
      <c r="BB367" s="8"/>
      <c r="BC367" s="8">
        <f t="shared" si="44"/>
        <v>1251059955</v>
      </c>
      <c r="BD367" s="4">
        <v>410914665</v>
      </c>
      <c r="BE367" s="4">
        <f t="shared" si="45"/>
        <v>840145290</v>
      </c>
      <c r="BF367" s="30">
        <f t="shared" si="46"/>
        <v>1251059955</v>
      </c>
      <c r="BG367" s="18">
        <f t="shared" si="47"/>
        <v>0</v>
      </c>
      <c r="BH367" s="23"/>
      <c r="BI367" s="23"/>
      <c r="BJ367" s="23"/>
    </row>
    <row r="368" spans="1:66" ht="15" customHeight="1" x14ac:dyDescent="0.2">
      <c r="A368" s="1">
        <v>8999993281</v>
      </c>
      <c r="B368" s="1">
        <v>899999328</v>
      </c>
      <c r="C368" s="15">
        <v>216925269</v>
      </c>
      <c r="D368" s="16" t="s">
        <v>484</v>
      </c>
      <c r="E368" s="53" t="s">
        <v>1511</v>
      </c>
      <c r="F368" s="28"/>
      <c r="G368" s="2"/>
      <c r="H368" s="3"/>
      <c r="I368" s="39">
        <f>2598827980+26976346</f>
        <v>2625804326</v>
      </c>
      <c r="J368" s="29">
        <v>179760148</v>
      </c>
      <c r="K368" s="3">
        <v>356184528</v>
      </c>
      <c r="L368" s="2"/>
      <c r="M368" s="37">
        <f>SUM(F368:L368)</f>
        <v>3161749002</v>
      </c>
      <c r="N368" s="3"/>
      <c r="O368" s="2"/>
      <c r="P368" s="3"/>
      <c r="Q368" s="2">
        <f>2501976962+12261976</f>
        <v>2514238938</v>
      </c>
      <c r="R368" s="3">
        <v>180174998</v>
      </c>
      <c r="S368" s="3">
        <f>176424380+180174998</f>
        <v>356599378</v>
      </c>
      <c r="T368" s="2"/>
      <c r="U368" s="8">
        <f t="shared" si="42"/>
        <v>6212762316</v>
      </c>
      <c r="V368" s="8"/>
      <c r="W368" s="8"/>
      <c r="X368" s="8"/>
      <c r="Y368" s="8">
        <v>3228501418</v>
      </c>
      <c r="Z368" s="8">
        <v>186154177</v>
      </c>
      <c r="AA368" s="8">
        <v>427431515</v>
      </c>
      <c r="AB368" s="8"/>
      <c r="AC368" s="8">
        <f t="shared" si="43"/>
        <v>10054849426</v>
      </c>
      <c r="AD368" s="8"/>
      <c r="AE368" s="8"/>
      <c r="AF368" s="8"/>
      <c r="AG368" s="8"/>
      <c r="AH368" s="8">
        <v>2553113778</v>
      </c>
      <c r="AI368" s="8">
        <v>203472624</v>
      </c>
      <c r="AJ368" s="8">
        <v>186782538</v>
      </c>
      <c r="AK368" s="8">
        <v>470617134</v>
      </c>
      <c r="AL368" s="8"/>
      <c r="AM368" s="8">
        <v>1328207520</v>
      </c>
      <c r="AN368" s="8">
        <f t="shared" si="49"/>
        <v>14797043020</v>
      </c>
      <c r="AO368" s="8"/>
      <c r="AP368" s="8"/>
      <c r="AQ368" s="8">
        <v>588116610</v>
      </c>
      <c r="AR368" s="8"/>
      <c r="AS368" s="8"/>
      <c r="AT368" s="8">
        <v>2553113778</v>
      </c>
      <c r="AU368" s="8"/>
      <c r="AV368" s="8">
        <v>186782538</v>
      </c>
      <c r="AW368" s="8">
        <v>318791426</v>
      </c>
      <c r="AX368" s="8"/>
      <c r="AY368" s="8"/>
      <c r="AZ368" s="8">
        <v>52366033</v>
      </c>
      <c r="BA368" s="8"/>
      <c r="BB368" s="8"/>
      <c r="BC368" s="8">
        <f t="shared" si="44"/>
        <v>18496213405</v>
      </c>
      <c r="BD368" s="4">
        <v>17168005885</v>
      </c>
      <c r="BE368" s="4">
        <f t="shared" si="45"/>
        <v>1328207520</v>
      </c>
      <c r="BF368" s="30">
        <f t="shared" si="46"/>
        <v>18496213405</v>
      </c>
      <c r="BG368" s="18">
        <f t="shared" si="47"/>
        <v>0</v>
      </c>
      <c r="BH368" s="23"/>
      <c r="BI368" s="23"/>
      <c r="BJ368" s="23"/>
    </row>
    <row r="369" spans="1:66" ht="15" customHeight="1" x14ac:dyDescent="0.2">
      <c r="A369" s="1">
        <v>8001000549</v>
      </c>
      <c r="B369" s="1">
        <v>800100054</v>
      </c>
      <c r="C369" s="15">
        <v>217073270</v>
      </c>
      <c r="D369" s="16" t="s">
        <v>2218</v>
      </c>
      <c r="E369" s="41" t="s">
        <v>1943</v>
      </c>
      <c r="F369" s="28"/>
      <c r="G369" s="2"/>
      <c r="H369" s="3"/>
      <c r="I369" s="2"/>
      <c r="J369" s="29"/>
      <c r="K369" s="3"/>
      <c r="L369" s="2"/>
      <c r="M369" s="8"/>
      <c r="N369" s="3"/>
      <c r="O369" s="2"/>
      <c r="P369" s="3"/>
      <c r="Q369" s="2"/>
      <c r="R369" s="3"/>
      <c r="S369" s="3"/>
      <c r="T369" s="2"/>
      <c r="U369" s="8">
        <f t="shared" si="42"/>
        <v>0</v>
      </c>
      <c r="V369" s="8"/>
      <c r="W369" s="8"/>
      <c r="X369" s="8"/>
      <c r="Y369" s="8"/>
      <c r="Z369" s="8"/>
      <c r="AA369" s="8"/>
      <c r="AB369" s="8"/>
      <c r="AC369" s="8">
        <f t="shared" si="43"/>
        <v>0</v>
      </c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>
        <v>59230710</v>
      </c>
      <c r="AZ369" s="8"/>
      <c r="BA369" s="8">
        <f>VLOOKUP(B369,[1]Hoja3!J$3:K$674,2,0)</f>
        <v>164866245</v>
      </c>
      <c r="BB369" s="8"/>
      <c r="BC369" s="8">
        <f t="shared" si="44"/>
        <v>224096955</v>
      </c>
      <c r="BD369" s="4">
        <v>59230710</v>
      </c>
      <c r="BE369" s="4">
        <f t="shared" si="45"/>
        <v>164866245</v>
      </c>
      <c r="BF369" s="30">
        <f t="shared" si="46"/>
        <v>224096955</v>
      </c>
      <c r="BG369" s="18">
        <f t="shared" si="47"/>
        <v>0</v>
      </c>
      <c r="BH369" s="23"/>
      <c r="BI369" s="23"/>
      <c r="BJ369" s="23"/>
    </row>
    <row r="370" spans="1:66" ht="15" customHeight="1" x14ac:dyDescent="0.2">
      <c r="A370" s="1">
        <v>8908011449</v>
      </c>
      <c r="B370" s="1">
        <v>890801144</v>
      </c>
      <c r="C370" s="15">
        <v>217217272</v>
      </c>
      <c r="D370" s="16" t="s">
        <v>341</v>
      </c>
      <c r="E370" s="41" t="s">
        <v>1372</v>
      </c>
      <c r="F370" s="28"/>
      <c r="G370" s="2"/>
      <c r="H370" s="3"/>
      <c r="I370" s="2"/>
      <c r="J370" s="29"/>
      <c r="K370" s="3"/>
      <c r="L370" s="2"/>
      <c r="M370" s="8"/>
      <c r="N370" s="3"/>
      <c r="O370" s="2"/>
      <c r="P370" s="3"/>
      <c r="Q370" s="2"/>
      <c r="R370" s="3"/>
      <c r="S370" s="3"/>
      <c r="T370" s="2"/>
      <c r="U370" s="8">
        <f t="shared" si="42"/>
        <v>0</v>
      </c>
      <c r="V370" s="8"/>
      <c r="W370" s="8"/>
      <c r="X370" s="8"/>
      <c r="Y370" s="8"/>
      <c r="Z370" s="8"/>
      <c r="AA370" s="8"/>
      <c r="AB370" s="8"/>
      <c r="AC370" s="8">
        <f t="shared" si="43"/>
        <v>0</v>
      </c>
      <c r="AD370" s="8"/>
      <c r="AE370" s="8"/>
      <c r="AF370" s="8"/>
      <c r="AG370" s="8"/>
      <c r="AH370" s="8"/>
      <c r="AI370" s="8"/>
      <c r="AJ370" s="8"/>
      <c r="AK370" s="8"/>
      <c r="AL370" s="8"/>
      <c r="AM370" s="8">
        <v>141579621</v>
      </c>
      <c r="AN370" s="8">
        <f>SUBTOTAL(9,AC370:AM370)</f>
        <v>141579621</v>
      </c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>
        <v>72356580</v>
      </c>
      <c r="AZ370" s="8"/>
      <c r="BA370" s="8"/>
      <c r="BB370" s="8"/>
      <c r="BC370" s="8">
        <f t="shared" si="44"/>
        <v>213936201</v>
      </c>
      <c r="BD370" s="4">
        <v>72356580</v>
      </c>
      <c r="BE370" s="4">
        <f t="shared" si="45"/>
        <v>141579621</v>
      </c>
      <c r="BF370" s="30">
        <f t="shared" si="46"/>
        <v>213936201</v>
      </c>
      <c r="BG370" s="18">
        <f t="shared" si="47"/>
        <v>0</v>
      </c>
      <c r="BH370" s="23"/>
      <c r="BI370" s="23"/>
      <c r="BJ370" s="23"/>
    </row>
    <row r="371" spans="1:66" ht="15" customHeight="1" x14ac:dyDescent="0.2">
      <c r="A371" s="1">
        <v>8900013395</v>
      </c>
      <c r="B371" s="1">
        <v>890001339</v>
      </c>
      <c r="C371" s="15">
        <v>217263272</v>
      </c>
      <c r="D371" s="16" t="s">
        <v>793</v>
      </c>
      <c r="E371" s="41" t="s">
        <v>1811</v>
      </c>
      <c r="F371" s="28"/>
      <c r="G371" s="2"/>
      <c r="H371" s="3"/>
      <c r="I371" s="2"/>
      <c r="J371" s="29"/>
      <c r="K371" s="3"/>
      <c r="L371" s="2"/>
      <c r="M371" s="8"/>
      <c r="N371" s="3"/>
      <c r="O371" s="2"/>
      <c r="P371" s="3"/>
      <c r="Q371" s="2"/>
      <c r="R371" s="3"/>
      <c r="S371" s="3"/>
      <c r="T371" s="2"/>
      <c r="U371" s="8">
        <f t="shared" si="42"/>
        <v>0</v>
      </c>
      <c r="V371" s="8"/>
      <c r="W371" s="8"/>
      <c r="X371" s="8"/>
      <c r="Y371" s="8"/>
      <c r="Z371" s="8"/>
      <c r="AA371" s="8"/>
      <c r="AB371" s="8"/>
      <c r="AC371" s="8">
        <f t="shared" si="43"/>
        <v>0</v>
      </c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>
        <v>88081545</v>
      </c>
      <c r="AZ371" s="8"/>
      <c r="BA371" s="8">
        <f>VLOOKUP(B371,[1]Hoja3!J$3:K$674,2,0)</f>
        <v>100681050</v>
      </c>
      <c r="BB371" s="8"/>
      <c r="BC371" s="8">
        <f t="shared" si="44"/>
        <v>188762595</v>
      </c>
      <c r="BD371" s="4">
        <v>88081545</v>
      </c>
      <c r="BE371" s="4">
        <f t="shared" si="45"/>
        <v>100681050</v>
      </c>
      <c r="BF371" s="30">
        <f t="shared" si="46"/>
        <v>188762595</v>
      </c>
      <c r="BG371" s="18">
        <f t="shared" si="47"/>
        <v>0</v>
      </c>
      <c r="BH371" s="23"/>
      <c r="BI371" s="23"/>
      <c r="BJ371" s="23"/>
    </row>
    <row r="372" spans="1:66" ht="15" customHeight="1" x14ac:dyDescent="0.2">
      <c r="A372" s="1">
        <v>8918562880</v>
      </c>
      <c r="B372" s="1">
        <v>891856288</v>
      </c>
      <c r="C372" s="15">
        <v>217215272</v>
      </c>
      <c r="D372" s="16" t="s">
        <v>249</v>
      </c>
      <c r="E372" s="41" t="s">
        <v>1284</v>
      </c>
      <c r="F372" s="28"/>
      <c r="G372" s="17"/>
      <c r="H372" s="3"/>
      <c r="I372" s="2"/>
      <c r="J372" s="29"/>
      <c r="K372" s="3"/>
      <c r="L372" s="17"/>
      <c r="M372" s="34"/>
      <c r="N372" s="3"/>
      <c r="O372" s="17"/>
      <c r="P372" s="3"/>
      <c r="Q372" s="2"/>
      <c r="R372" s="3"/>
      <c r="S372" s="3"/>
      <c r="T372" s="17"/>
      <c r="U372" s="8">
        <f t="shared" si="42"/>
        <v>0</v>
      </c>
      <c r="V372" s="8"/>
      <c r="W372" s="8"/>
      <c r="X372" s="8"/>
      <c r="Y372" s="8"/>
      <c r="Z372" s="8"/>
      <c r="AA372" s="8"/>
      <c r="AB372" s="8"/>
      <c r="AC372" s="8">
        <f t="shared" si="43"/>
        <v>0</v>
      </c>
      <c r="AD372" s="8"/>
      <c r="AE372" s="8"/>
      <c r="AF372" s="8"/>
      <c r="AG372" s="8"/>
      <c r="AH372" s="8"/>
      <c r="AI372" s="8"/>
      <c r="AJ372" s="8"/>
      <c r="AK372" s="8"/>
      <c r="AL372" s="8"/>
      <c r="AM372" s="8">
        <v>14093890</v>
      </c>
      <c r="AN372" s="8">
        <f>SUBTOTAL(9,AC372:AM372)</f>
        <v>14093890</v>
      </c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>
        <v>32816120</v>
      </c>
      <c r="AZ372" s="8"/>
      <c r="BA372" s="8">
        <f>VLOOKUP(B372,[1]Hoja3!J$3:K$674,2,0)</f>
        <v>55120273</v>
      </c>
      <c r="BB372" s="8"/>
      <c r="BC372" s="8">
        <f t="shared" si="44"/>
        <v>102030283</v>
      </c>
      <c r="BD372" s="4">
        <v>32816120</v>
      </c>
      <c r="BE372" s="4">
        <f t="shared" si="45"/>
        <v>69214163</v>
      </c>
      <c r="BF372" s="30">
        <f t="shared" si="46"/>
        <v>102030283</v>
      </c>
      <c r="BG372" s="18">
        <f t="shared" si="47"/>
        <v>0</v>
      </c>
      <c r="BH372" s="23"/>
      <c r="BI372" s="14"/>
      <c r="BJ372" s="14"/>
      <c r="BK372" s="14"/>
      <c r="BL372" s="14"/>
      <c r="BM372" s="14"/>
      <c r="BN372" s="14"/>
    </row>
    <row r="373" spans="1:66" ht="15" customHeight="1" x14ac:dyDescent="0.2">
      <c r="A373" s="1">
        <v>8001000556</v>
      </c>
      <c r="B373" s="1">
        <v>800100055</v>
      </c>
      <c r="C373" s="15">
        <v>217573275</v>
      </c>
      <c r="D373" s="16" t="s">
        <v>2219</v>
      </c>
      <c r="E373" s="41" t="s">
        <v>1944</v>
      </c>
      <c r="F373" s="28"/>
      <c r="G373" s="2"/>
      <c r="H373" s="3"/>
      <c r="I373" s="2"/>
      <c r="J373" s="29"/>
      <c r="K373" s="3"/>
      <c r="L373" s="2"/>
      <c r="M373" s="8"/>
      <c r="N373" s="3"/>
      <c r="O373" s="2"/>
      <c r="P373" s="3"/>
      <c r="Q373" s="2"/>
      <c r="R373" s="3"/>
      <c r="S373" s="3"/>
      <c r="T373" s="2"/>
      <c r="U373" s="8">
        <f t="shared" si="42"/>
        <v>0</v>
      </c>
      <c r="V373" s="8"/>
      <c r="W373" s="8"/>
      <c r="X373" s="8"/>
      <c r="Y373" s="8"/>
      <c r="Z373" s="8"/>
      <c r="AA373" s="8"/>
      <c r="AB373" s="8"/>
      <c r="AC373" s="8">
        <f t="shared" si="43"/>
        <v>0</v>
      </c>
      <c r="AD373" s="8"/>
      <c r="AE373" s="8"/>
      <c r="AF373" s="8"/>
      <c r="AG373" s="8"/>
      <c r="AH373" s="8"/>
      <c r="AI373" s="8"/>
      <c r="AJ373" s="8"/>
      <c r="AK373" s="8"/>
      <c r="AL373" s="8"/>
      <c r="AM373" s="8">
        <v>257811162</v>
      </c>
      <c r="AN373" s="8">
        <f>SUBTOTAL(9,AC373:AM373)</f>
        <v>257811162</v>
      </c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>
        <v>154654355</v>
      </c>
      <c r="AZ373" s="8"/>
      <c r="BA373" s="8"/>
      <c r="BB373" s="8"/>
      <c r="BC373" s="8">
        <f t="shared" si="44"/>
        <v>412465517</v>
      </c>
      <c r="BD373" s="4">
        <v>154654355</v>
      </c>
      <c r="BE373" s="4">
        <f t="shared" si="45"/>
        <v>257811162</v>
      </c>
      <c r="BF373" s="30">
        <f t="shared" si="46"/>
        <v>412465517</v>
      </c>
      <c r="BG373" s="18">
        <f t="shared" si="47"/>
        <v>0</v>
      </c>
      <c r="BH373" s="23"/>
      <c r="BI373" s="23"/>
      <c r="BJ373" s="23"/>
    </row>
    <row r="374" spans="1:66" ht="15" customHeight="1" x14ac:dyDescent="0.2">
      <c r="A374" s="1">
        <v>8000957282</v>
      </c>
      <c r="B374" s="1">
        <v>800095728</v>
      </c>
      <c r="C374" s="15">
        <v>210118001</v>
      </c>
      <c r="D374" s="16" t="s">
        <v>2165</v>
      </c>
      <c r="E374" s="53" t="s">
        <v>1015</v>
      </c>
      <c r="F374" s="28"/>
      <c r="G374" s="2"/>
      <c r="H374" s="3"/>
      <c r="I374" s="2">
        <f>4891158804+174626254</f>
        <v>5065785058</v>
      </c>
      <c r="J374" s="29">
        <v>327071758</v>
      </c>
      <c r="K374" s="3">
        <v>651463006</v>
      </c>
      <c r="L374" s="2"/>
      <c r="M374" s="37">
        <f>SUM(F374:L374)</f>
        <v>6044319822</v>
      </c>
      <c r="N374" s="3"/>
      <c r="O374" s="2"/>
      <c r="P374" s="3"/>
      <c r="Q374" s="2">
        <f>4618076044+79375570</f>
        <v>4697451614</v>
      </c>
      <c r="R374" s="3">
        <v>327071758</v>
      </c>
      <c r="S374" s="3">
        <f>324391248+327071758</f>
        <v>651463006</v>
      </c>
      <c r="T374" s="2"/>
      <c r="U374" s="8">
        <f t="shared" si="42"/>
        <v>11720306200</v>
      </c>
      <c r="V374" s="8"/>
      <c r="W374" s="8"/>
      <c r="X374" s="8"/>
      <c r="Y374" s="8">
        <v>6715017771</v>
      </c>
      <c r="Z374" s="8">
        <v>335125831</v>
      </c>
      <c r="AA374" s="8">
        <v>766878313</v>
      </c>
      <c r="AB374" s="8"/>
      <c r="AC374" s="8">
        <f t="shared" si="43"/>
        <v>19537328115</v>
      </c>
      <c r="AD374" s="8"/>
      <c r="AE374" s="8"/>
      <c r="AF374" s="8"/>
      <c r="AG374" s="8"/>
      <c r="AH374" s="8">
        <v>4779876058</v>
      </c>
      <c r="AI374" s="8">
        <v>784472262</v>
      </c>
      <c r="AJ374" s="8">
        <v>335923796</v>
      </c>
      <c r="AK374" s="8">
        <v>849229218</v>
      </c>
      <c r="AL374" s="8"/>
      <c r="AM374" s="8">
        <v>1774713105</v>
      </c>
      <c r="AN374" s="8">
        <f>SUBTOTAL(9,AC374:AM374)</f>
        <v>28061542554</v>
      </c>
      <c r="AO374" s="8"/>
      <c r="AP374" s="8"/>
      <c r="AQ374" s="8">
        <v>900635495</v>
      </c>
      <c r="AR374" s="8"/>
      <c r="AS374" s="8"/>
      <c r="AT374" s="8">
        <v>4779876058</v>
      </c>
      <c r="AU374" s="8"/>
      <c r="AV374" s="8">
        <v>335923796</v>
      </c>
      <c r="AW374" s="8">
        <v>575812630</v>
      </c>
      <c r="AX374" s="8"/>
      <c r="AY374" s="8"/>
      <c r="AZ374" s="8"/>
      <c r="BA374" s="8">
        <f>VLOOKUP(B374,[1]Hoja3!J$3:K$674,2,0)</f>
        <v>278052895</v>
      </c>
      <c r="BB374" s="8">
        <f>VLOOKUP(B374,'[2]anuladas en mayo gratuidad}'!K$2:L$55,2,0)</f>
        <v>12917846</v>
      </c>
      <c r="BC374" s="8">
        <f t="shared" si="44"/>
        <v>34918925582</v>
      </c>
      <c r="BD374" s="4">
        <v>32879077428</v>
      </c>
      <c r="BE374" s="4">
        <f t="shared" si="45"/>
        <v>2039848154</v>
      </c>
      <c r="BF374" s="30">
        <f t="shared" si="46"/>
        <v>34918925582</v>
      </c>
      <c r="BG374" s="18">
        <f t="shared" si="47"/>
        <v>0</v>
      </c>
      <c r="BH374" s="23"/>
      <c r="BI374" s="23"/>
      <c r="BJ374" s="23"/>
    </row>
    <row r="375" spans="1:66" ht="15" customHeight="1" x14ac:dyDescent="0.2">
      <c r="A375" s="1">
        <v>8001884921</v>
      </c>
      <c r="B375" s="1">
        <v>800188492</v>
      </c>
      <c r="C375" s="15">
        <v>219019290</v>
      </c>
      <c r="D375" s="16" t="s">
        <v>383</v>
      </c>
      <c r="E375" s="41" t="s">
        <v>1414</v>
      </c>
      <c r="F375" s="28"/>
      <c r="G375" s="2"/>
      <c r="H375" s="3"/>
      <c r="I375" s="2"/>
      <c r="J375" s="29"/>
      <c r="K375" s="3"/>
      <c r="L375" s="2"/>
      <c r="M375" s="8"/>
      <c r="N375" s="3"/>
      <c r="O375" s="2"/>
      <c r="P375" s="3"/>
      <c r="Q375" s="2"/>
      <c r="R375" s="3"/>
      <c r="S375" s="3"/>
      <c r="T375" s="2"/>
      <c r="U375" s="8">
        <f t="shared" si="42"/>
        <v>0</v>
      </c>
      <c r="V375" s="8"/>
      <c r="W375" s="8"/>
      <c r="X375" s="8"/>
      <c r="Y375" s="8"/>
      <c r="Z375" s="8"/>
      <c r="AA375" s="8"/>
      <c r="AB375" s="8"/>
      <c r="AC375" s="8">
        <f t="shared" si="43"/>
        <v>0</v>
      </c>
      <c r="AD375" s="8"/>
      <c r="AE375" s="8"/>
      <c r="AF375" s="8"/>
      <c r="AG375" s="8"/>
      <c r="AH375" s="8"/>
      <c r="AI375" s="8"/>
      <c r="AJ375" s="8"/>
      <c r="AK375" s="8"/>
      <c r="AL375" s="8"/>
      <c r="AM375" s="8">
        <v>73859857</v>
      </c>
      <c r="AN375" s="8">
        <f>SUBTOTAL(9,AC375:AM375)</f>
        <v>73859857</v>
      </c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>
        <f>VLOOKUP(B375,[1]Hoja3!J$3:K$674,2,0)</f>
        <v>10327540</v>
      </c>
      <c r="BB375" s="8"/>
      <c r="BC375" s="8">
        <f t="shared" si="44"/>
        <v>84187397</v>
      </c>
      <c r="BD375" s="4"/>
      <c r="BE375" s="4">
        <f t="shared" si="45"/>
        <v>84187397</v>
      </c>
      <c r="BF375" s="30">
        <f t="shared" si="46"/>
        <v>84187397</v>
      </c>
      <c r="BG375" s="18">
        <f t="shared" si="47"/>
        <v>0</v>
      </c>
      <c r="BH375" s="23"/>
      <c r="BI375" s="23"/>
      <c r="BJ375" s="23"/>
    </row>
    <row r="376" spans="1:66" ht="15" customHeight="1" x14ac:dyDescent="0.2">
      <c r="A376" s="1">
        <v>8000263681</v>
      </c>
      <c r="B376" s="1">
        <v>800026368</v>
      </c>
      <c r="C376" s="15">
        <v>217615276</v>
      </c>
      <c r="D376" s="16" t="s">
        <v>250</v>
      </c>
      <c r="E376" s="41" t="s">
        <v>1285</v>
      </c>
      <c r="F376" s="28"/>
      <c r="G376" s="17"/>
      <c r="H376" s="3"/>
      <c r="I376" s="2"/>
      <c r="J376" s="29"/>
      <c r="K376" s="3"/>
      <c r="L376" s="17"/>
      <c r="M376" s="34"/>
      <c r="N376" s="3"/>
      <c r="O376" s="17"/>
      <c r="P376" s="3"/>
      <c r="Q376" s="2"/>
      <c r="R376" s="3"/>
      <c r="S376" s="3"/>
      <c r="T376" s="17"/>
      <c r="U376" s="8">
        <f t="shared" si="42"/>
        <v>0</v>
      </c>
      <c r="V376" s="8"/>
      <c r="W376" s="8"/>
      <c r="X376" s="8"/>
      <c r="Y376" s="8"/>
      <c r="Z376" s="8"/>
      <c r="AA376" s="8"/>
      <c r="AB376" s="8"/>
      <c r="AC376" s="8">
        <f t="shared" si="43"/>
        <v>0</v>
      </c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>
        <v>24410110</v>
      </c>
      <c r="AZ376" s="8"/>
      <c r="BA376" s="8">
        <f>VLOOKUP(B376,[1]Hoja3!J$3:K$674,2,0)</f>
        <v>43928445</v>
      </c>
      <c r="BB376" s="8"/>
      <c r="BC376" s="8">
        <f t="shared" si="44"/>
        <v>68338555</v>
      </c>
      <c r="BD376" s="4">
        <v>24410110</v>
      </c>
      <c r="BE376" s="4">
        <f t="shared" si="45"/>
        <v>43928445</v>
      </c>
      <c r="BF376" s="30">
        <f t="shared" si="46"/>
        <v>68338555</v>
      </c>
      <c r="BG376" s="18">
        <f t="shared" si="47"/>
        <v>0</v>
      </c>
      <c r="BH376" s="23"/>
      <c r="BI376" s="14"/>
      <c r="BJ376" s="14"/>
      <c r="BK376" s="14"/>
      <c r="BL376" s="14"/>
      <c r="BM376" s="14"/>
      <c r="BN376" s="14"/>
    </row>
    <row r="377" spans="1:66" ht="15" customHeight="1" x14ac:dyDescent="0.2">
      <c r="A377" s="1">
        <v>8902096402</v>
      </c>
      <c r="B377" s="1">
        <v>890209640</v>
      </c>
      <c r="C377" s="15">
        <v>217168271</v>
      </c>
      <c r="D377" s="16" t="s">
        <v>839</v>
      </c>
      <c r="E377" s="41" t="s">
        <v>1855</v>
      </c>
      <c r="F377" s="28"/>
      <c r="G377" s="2"/>
      <c r="H377" s="3"/>
      <c r="I377" s="2"/>
      <c r="J377" s="29"/>
      <c r="K377" s="3"/>
      <c r="L377" s="2"/>
      <c r="M377" s="8"/>
      <c r="N377" s="3"/>
      <c r="O377" s="2"/>
      <c r="P377" s="3"/>
      <c r="Q377" s="2"/>
      <c r="R377" s="3"/>
      <c r="S377" s="3"/>
      <c r="T377" s="2"/>
      <c r="U377" s="8">
        <f t="shared" si="42"/>
        <v>0</v>
      </c>
      <c r="V377" s="8"/>
      <c r="W377" s="8"/>
      <c r="X377" s="8"/>
      <c r="Y377" s="8"/>
      <c r="Z377" s="8"/>
      <c r="AA377" s="8"/>
      <c r="AB377" s="8"/>
      <c r="AC377" s="8">
        <f t="shared" si="43"/>
        <v>0</v>
      </c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>
        <v>48782960</v>
      </c>
      <c r="AZ377" s="8"/>
      <c r="BA377" s="8">
        <f>VLOOKUP(B377,[1]Hoja3!J$3:K$674,2,0)</f>
        <v>87175645</v>
      </c>
      <c r="BB377" s="8"/>
      <c r="BC377" s="8">
        <f t="shared" si="44"/>
        <v>135958605</v>
      </c>
      <c r="BD377" s="4">
        <v>48782960</v>
      </c>
      <c r="BE377" s="4">
        <f t="shared" si="45"/>
        <v>87175645</v>
      </c>
      <c r="BF377" s="30">
        <f t="shared" si="46"/>
        <v>135958605</v>
      </c>
      <c r="BG377" s="18">
        <f t="shared" si="47"/>
        <v>0</v>
      </c>
      <c r="BH377" s="23"/>
      <c r="BI377" s="23"/>
      <c r="BJ377" s="23"/>
    </row>
    <row r="378" spans="1:66" ht="15" customHeight="1" x14ac:dyDescent="0.2">
      <c r="A378" s="1">
        <v>8902051768</v>
      </c>
      <c r="B378" s="1">
        <v>890205176</v>
      </c>
      <c r="C378" s="15">
        <v>217668276</v>
      </c>
      <c r="D378" s="16" t="s">
        <v>2166</v>
      </c>
      <c r="E378" s="53" t="s">
        <v>1038</v>
      </c>
      <c r="F378" s="28"/>
      <c r="G378" s="2"/>
      <c r="H378" s="3"/>
      <c r="I378" s="2">
        <f>4084974740+73309331</f>
        <v>4158284071</v>
      </c>
      <c r="J378" s="29">
        <v>306183579</v>
      </c>
      <c r="K378" s="3">
        <v>609018116</v>
      </c>
      <c r="L378" s="2"/>
      <c r="M378" s="37">
        <f>SUM(F378:L378)</f>
        <v>5073485766</v>
      </c>
      <c r="N378" s="3"/>
      <c r="O378" s="2"/>
      <c r="P378" s="3"/>
      <c r="Q378" s="2">
        <f>3915338716+33322423</f>
        <v>3948661139</v>
      </c>
      <c r="R378" s="3">
        <v>306658486</v>
      </c>
      <c r="S378" s="3">
        <f>302834537+306658486</f>
        <v>609493023</v>
      </c>
      <c r="T378" s="2"/>
      <c r="U378" s="8">
        <f t="shared" si="42"/>
        <v>9938298414</v>
      </c>
      <c r="V378" s="8"/>
      <c r="W378" s="8"/>
      <c r="X378" s="8"/>
      <c r="Y378" s="8">
        <v>5960439741</v>
      </c>
      <c r="Z378" s="8">
        <v>321792405</v>
      </c>
      <c r="AA378" s="8">
        <v>733065407</v>
      </c>
      <c r="AB378" s="8"/>
      <c r="AC378" s="8">
        <f t="shared" si="43"/>
        <v>16953595967</v>
      </c>
      <c r="AD378" s="8"/>
      <c r="AE378" s="8"/>
      <c r="AF378" s="8"/>
      <c r="AG378" s="8"/>
      <c r="AH378" s="8">
        <v>4247282579</v>
      </c>
      <c r="AI378" s="8">
        <v>413566658</v>
      </c>
      <c r="AJ378" s="8">
        <v>321459104</v>
      </c>
      <c r="AK378" s="8">
        <v>809571310</v>
      </c>
      <c r="AL378" s="8"/>
      <c r="AM378" s="8">
        <v>1249566905</v>
      </c>
      <c r="AN378" s="8">
        <f>SUBTOTAL(9,AC378:AM378)</f>
        <v>23995042523</v>
      </c>
      <c r="AO378" s="8"/>
      <c r="AP378" s="8"/>
      <c r="AQ378" s="8">
        <v>722336125</v>
      </c>
      <c r="AR378" s="8"/>
      <c r="AS378" s="8"/>
      <c r="AT378" s="8">
        <v>4247282579</v>
      </c>
      <c r="AU378" s="8"/>
      <c r="AV378" s="8">
        <v>321459104</v>
      </c>
      <c r="AW378" s="8">
        <v>548407688</v>
      </c>
      <c r="AX378" s="8"/>
      <c r="AY378" s="8"/>
      <c r="AZ378" s="8">
        <v>192786241</v>
      </c>
      <c r="BA378" s="8">
        <f>VLOOKUP(B378,[1]Hoja3!J$3:K$674,2,0)</f>
        <v>892878036</v>
      </c>
      <c r="BB378" s="8"/>
      <c r="BC378" s="8">
        <f t="shared" si="44"/>
        <v>30920192296</v>
      </c>
      <c r="BD378" s="4">
        <v>28777747355</v>
      </c>
      <c r="BE378" s="4">
        <f t="shared" si="45"/>
        <v>2142444941</v>
      </c>
      <c r="BF378" s="30">
        <f t="shared" si="46"/>
        <v>30920192296</v>
      </c>
      <c r="BG378" s="18">
        <f t="shared" si="47"/>
        <v>0</v>
      </c>
      <c r="BH378" s="23"/>
      <c r="BI378" s="23"/>
      <c r="BJ378" s="23"/>
    </row>
    <row r="379" spans="1:66" ht="15" customHeight="1" x14ac:dyDescent="0.2">
      <c r="A379" s="1">
        <v>8001005191</v>
      </c>
      <c r="B379" s="1">
        <v>800100519</v>
      </c>
      <c r="C379" s="15">
        <v>217576275</v>
      </c>
      <c r="D379" s="16" t="s">
        <v>926</v>
      </c>
      <c r="E379" s="41" t="s">
        <v>1987</v>
      </c>
      <c r="F379" s="28"/>
      <c r="G379" s="2"/>
      <c r="H379" s="3"/>
      <c r="I379" s="2"/>
      <c r="J379" s="29"/>
      <c r="K379" s="3"/>
      <c r="L379" s="2"/>
      <c r="M379" s="8"/>
      <c r="N379" s="3"/>
      <c r="O379" s="2"/>
      <c r="P379" s="3"/>
      <c r="Q379" s="2"/>
      <c r="R379" s="3"/>
      <c r="S379" s="3"/>
      <c r="T379" s="2"/>
      <c r="U379" s="8">
        <f t="shared" si="42"/>
        <v>0</v>
      </c>
      <c r="V379" s="8"/>
      <c r="W379" s="8"/>
      <c r="X379" s="8"/>
      <c r="Y379" s="8"/>
      <c r="Z379" s="8"/>
      <c r="AA379" s="8"/>
      <c r="AB379" s="8"/>
      <c r="AC379" s="8">
        <f t="shared" si="43"/>
        <v>0</v>
      </c>
      <c r="AD379" s="8"/>
      <c r="AE379" s="8"/>
      <c r="AF379" s="8"/>
      <c r="AG379" s="8"/>
      <c r="AH379" s="8"/>
      <c r="AI379" s="8"/>
      <c r="AJ379" s="8"/>
      <c r="AK379" s="8"/>
      <c r="AL379" s="8"/>
      <c r="AM379" s="8">
        <v>692403819</v>
      </c>
      <c r="AN379" s="8">
        <f>SUBTOTAL(9,AC379:AM379)</f>
        <v>692403819</v>
      </c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>
        <v>338047235</v>
      </c>
      <c r="AZ379" s="8"/>
      <c r="BA379" s="8">
        <f>VLOOKUP(B379,[1]Hoja3!J$3:K$674,2,0)</f>
        <v>79708514</v>
      </c>
      <c r="BB379" s="8"/>
      <c r="BC379" s="8">
        <f t="shared" si="44"/>
        <v>1110159568</v>
      </c>
      <c r="BD379" s="4">
        <v>338047235</v>
      </c>
      <c r="BE379" s="4">
        <f t="shared" si="45"/>
        <v>772112333</v>
      </c>
      <c r="BF379" s="30">
        <f t="shared" si="46"/>
        <v>1110159568</v>
      </c>
      <c r="BG379" s="18">
        <f t="shared" si="47"/>
        <v>0</v>
      </c>
      <c r="BH379" s="23"/>
      <c r="BI379" s="23"/>
      <c r="BJ379" s="23"/>
    </row>
    <row r="380" spans="1:66" ht="15" customHeight="1" x14ac:dyDescent="0.2">
      <c r="A380" s="1">
        <v>8999993645</v>
      </c>
      <c r="B380" s="1">
        <v>899999364</v>
      </c>
      <c r="C380" s="15">
        <v>217925279</v>
      </c>
      <c r="D380" s="16" t="s">
        <v>485</v>
      </c>
      <c r="E380" s="41" t="s">
        <v>1512</v>
      </c>
      <c r="F380" s="28"/>
      <c r="G380" s="2"/>
      <c r="H380" s="3"/>
      <c r="I380" s="2"/>
      <c r="J380" s="29"/>
      <c r="K380" s="3"/>
      <c r="L380" s="2"/>
      <c r="M380" s="8"/>
      <c r="N380" s="3"/>
      <c r="O380" s="2"/>
      <c r="P380" s="3"/>
      <c r="Q380" s="2"/>
      <c r="R380" s="3"/>
      <c r="S380" s="3"/>
      <c r="T380" s="2"/>
      <c r="U380" s="8">
        <f t="shared" si="42"/>
        <v>0</v>
      </c>
      <c r="V380" s="8"/>
      <c r="W380" s="8"/>
      <c r="X380" s="8"/>
      <c r="Y380" s="8"/>
      <c r="Z380" s="8"/>
      <c r="AA380" s="8"/>
      <c r="AB380" s="8"/>
      <c r="AC380" s="8">
        <f t="shared" si="43"/>
        <v>0</v>
      </c>
      <c r="AD380" s="8"/>
      <c r="AE380" s="8"/>
      <c r="AF380" s="8"/>
      <c r="AG380" s="8"/>
      <c r="AH380" s="8"/>
      <c r="AI380" s="8"/>
      <c r="AJ380" s="8"/>
      <c r="AK380" s="8"/>
      <c r="AL380" s="8"/>
      <c r="AM380" s="8">
        <v>163759537</v>
      </c>
      <c r="AN380" s="8">
        <f>SUBTOTAL(9,AC380:AM380)</f>
        <v>163759537</v>
      </c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>
        <v>72427545</v>
      </c>
      <c r="AZ380" s="8"/>
      <c r="BA380" s="8"/>
      <c r="BB380" s="8"/>
      <c r="BC380" s="8">
        <f t="shared" si="44"/>
        <v>236187082</v>
      </c>
      <c r="BD380" s="4">
        <v>72427545</v>
      </c>
      <c r="BE380" s="4">
        <f t="shared" si="45"/>
        <v>163759537</v>
      </c>
      <c r="BF380" s="30">
        <f t="shared" si="46"/>
        <v>236187082</v>
      </c>
      <c r="BG380" s="18">
        <f t="shared" si="47"/>
        <v>0</v>
      </c>
      <c r="BH380" s="23"/>
      <c r="BI380" s="23"/>
      <c r="BJ380" s="23"/>
    </row>
    <row r="381" spans="1:66" ht="15" customHeight="1" x14ac:dyDescent="0.2">
      <c r="A381" s="1">
        <v>8921700083</v>
      </c>
      <c r="B381" s="1">
        <v>892170008</v>
      </c>
      <c r="C381" s="15">
        <v>217944279</v>
      </c>
      <c r="D381" s="16" t="s">
        <v>635</v>
      </c>
      <c r="E381" s="41" t="s">
        <v>1654</v>
      </c>
      <c r="F381" s="28"/>
      <c r="G381" s="2"/>
      <c r="H381" s="3"/>
      <c r="I381" s="2"/>
      <c r="J381" s="29"/>
      <c r="K381" s="3"/>
      <c r="L381" s="2"/>
      <c r="M381" s="8"/>
      <c r="N381" s="3"/>
      <c r="O381" s="2"/>
      <c r="P381" s="3"/>
      <c r="Q381" s="2"/>
      <c r="R381" s="3"/>
      <c r="S381" s="3"/>
      <c r="T381" s="2"/>
      <c r="U381" s="8">
        <f t="shared" si="42"/>
        <v>0</v>
      </c>
      <c r="V381" s="8"/>
      <c r="W381" s="8"/>
      <c r="X381" s="8"/>
      <c r="Y381" s="8"/>
      <c r="Z381" s="8"/>
      <c r="AA381" s="8"/>
      <c r="AB381" s="8"/>
      <c r="AC381" s="8">
        <f t="shared" si="43"/>
        <v>0</v>
      </c>
      <c r="AD381" s="8"/>
      <c r="AE381" s="8"/>
      <c r="AF381" s="8"/>
      <c r="AG381" s="8"/>
      <c r="AH381" s="8"/>
      <c r="AI381" s="8"/>
      <c r="AJ381" s="8"/>
      <c r="AK381" s="8"/>
      <c r="AL381" s="8"/>
      <c r="AM381" s="8">
        <v>628905388</v>
      </c>
      <c r="AN381" s="8">
        <f>SUBTOTAL(9,AC381:AM381)</f>
        <v>628905388</v>
      </c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>
        <f t="shared" si="44"/>
        <v>628905388</v>
      </c>
      <c r="BD381" s="4"/>
      <c r="BE381" s="4">
        <f t="shared" si="45"/>
        <v>628905388</v>
      </c>
      <c r="BF381" s="30">
        <f t="shared" si="46"/>
        <v>628905388</v>
      </c>
      <c r="BG381" s="18">
        <f t="shared" si="47"/>
        <v>0</v>
      </c>
      <c r="BH381" s="23"/>
      <c r="BI381" s="23"/>
      <c r="BJ381" s="23"/>
    </row>
    <row r="382" spans="1:66" ht="15" customHeight="1" x14ac:dyDescent="0.2">
      <c r="A382" s="1">
        <v>8001360694</v>
      </c>
      <c r="B382" s="1">
        <v>800136069</v>
      </c>
      <c r="C382" s="15">
        <v>210081300</v>
      </c>
      <c r="D382" s="16" t="s">
        <v>951</v>
      </c>
      <c r="E382" s="41" t="s">
        <v>2012</v>
      </c>
      <c r="F382" s="28"/>
      <c r="G382" s="2"/>
      <c r="H382" s="3"/>
      <c r="I382" s="2"/>
      <c r="J382" s="29"/>
      <c r="K382" s="3"/>
      <c r="L382" s="2"/>
      <c r="M382" s="8"/>
      <c r="N382" s="3"/>
      <c r="O382" s="2"/>
      <c r="P382" s="3"/>
      <c r="Q382" s="2"/>
      <c r="R382" s="3"/>
      <c r="S382" s="3"/>
      <c r="T382" s="2"/>
      <c r="U382" s="8">
        <f t="shared" si="42"/>
        <v>0</v>
      </c>
      <c r="V382" s="8"/>
      <c r="W382" s="8"/>
      <c r="X382" s="8"/>
      <c r="Y382" s="8"/>
      <c r="Z382" s="8"/>
      <c r="AA382" s="8"/>
      <c r="AB382" s="8"/>
      <c r="AC382" s="8">
        <f t="shared" si="43"/>
        <v>0</v>
      </c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>
        <v>348459835</v>
      </c>
      <c r="AZ382" s="8"/>
      <c r="BA382" s="8">
        <f>VLOOKUP(B382,[1]Hoja3!J$3:K$674,2,0)</f>
        <v>351771836</v>
      </c>
      <c r="BB382" s="8"/>
      <c r="BC382" s="8">
        <f t="shared" si="44"/>
        <v>700231671</v>
      </c>
      <c r="BD382" s="4">
        <v>348459835</v>
      </c>
      <c r="BE382" s="4">
        <f t="shared" si="45"/>
        <v>351771836</v>
      </c>
      <c r="BF382" s="30">
        <f t="shared" si="46"/>
        <v>700231671</v>
      </c>
      <c r="BG382" s="18">
        <f t="shared" si="47"/>
        <v>0</v>
      </c>
      <c r="BH382" s="23"/>
      <c r="BI382" s="23"/>
      <c r="BJ382" s="23"/>
    </row>
    <row r="383" spans="1:66" ht="15" customHeight="1" x14ac:dyDescent="0.2">
      <c r="A383" s="1">
        <v>8999994201</v>
      </c>
      <c r="B383" s="1">
        <v>899999420</v>
      </c>
      <c r="C383" s="15">
        <v>218125281</v>
      </c>
      <c r="D383" s="16" t="s">
        <v>486</v>
      </c>
      <c r="E383" s="41" t="s">
        <v>1513</v>
      </c>
      <c r="F383" s="28"/>
      <c r="G383" s="2"/>
      <c r="H383" s="3"/>
      <c r="I383" s="2"/>
      <c r="J383" s="29"/>
      <c r="K383" s="3"/>
      <c r="L383" s="2"/>
      <c r="M383" s="8"/>
      <c r="N383" s="3"/>
      <c r="O383" s="2"/>
      <c r="P383" s="3"/>
      <c r="Q383" s="2"/>
      <c r="R383" s="3"/>
      <c r="S383" s="3"/>
      <c r="T383" s="2"/>
      <c r="U383" s="8">
        <f t="shared" si="42"/>
        <v>0</v>
      </c>
      <c r="V383" s="8"/>
      <c r="W383" s="8"/>
      <c r="X383" s="8"/>
      <c r="Y383" s="8"/>
      <c r="Z383" s="8"/>
      <c r="AA383" s="8"/>
      <c r="AB383" s="8"/>
      <c r="AC383" s="8">
        <f t="shared" si="43"/>
        <v>0</v>
      </c>
      <c r="AD383" s="8"/>
      <c r="AE383" s="8"/>
      <c r="AF383" s="8"/>
      <c r="AG383" s="8"/>
      <c r="AH383" s="8"/>
      <c r="AI383" s="8"/>
      <c r="AJ383" s="8"/>
      <c r="AK383" s="8"/>
      <c r="AL383" s="8"/>
      <c r="AM383" s="8">
        <v>116856050</v>
      </c>
      <c r="AN383" s="8">
        <f>SUBTOTAL(9,AC383:AM383)</f>
        <v>116856050</v>
      </c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>
        <f t="shared" si="44"/>
        <v>116856050</v>
      </c>
      <c r="BD383" s="4"/>
      <c r="BE383" s="4">
        <f t="shared" si="45"/>
        <v>116856050</v>
      </c>
      <c r="BF383" s="30">
        <f t="shared" si="46"/>
        <v>116856050</v>
      </c>
      <c r="BG383" s="18">
        <f t="shared" si="47"/>
        <v>0</v>
      </c>
      <c r="BH383" s="23"/>
      <c r="BI383" s="23"/>
      <c r="BJ383" s="23"/>
    </row>
    <row r="384" spans="1:66" ht="15" customHeight="1" x14ac:dyDescent="0.2">
      <c r="A384" s="1">
        <v>8000990853</v>
      </c>
      <c r="B384" s="1">
        <v>800099085</v>
      </c>
      <c r="C384" s="15">
        <v>212052520</v>
      </c>
      <c r="D384" s="16" t="s">
        <v>730</v>
      </c>
      <c r="E384" s="41" t="s">
        <v>1753</v>
      </c>
      <c r="F384" s="28"/>
      <c r="G384" s="2"/>
      <c r="H384" s="3"/>
      <c r="I384" s="2"/>
      <c r="J384" s="29"/>
      <c r="K384" s="3"/>
      <c r="L384" s="2"/>
      <c r="M384" s="8"/>
      <c r="N384" s="3"/>
      <c r="O384" s="2"/>
      <c r="P384" s="3"/>
      <c r="Q384" s="2"/>
      <c r="R384" s="3"/>
      <c r="S384" s="3"/>
      <c r="T384" s="2"/>
      <c r="U384" s="8">
        <f t="shared" si="42"/>
        <v>0</v>
      </c>
      <c r="V384" s="8"/>
      <c r="W384" s="8"/>
      <c r="X384" s="8"/>
      <c r="Y384" s="8"/>
      <c r="Z384" s="8"/>
      <c r="AA384" s="8"/>
      <c r="AB384" s="8"/>
      <c r="AC384" s="8">
        <f t="shared" si="43"/>
        <v>0</v>
      </c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>
        <v>114509850</v>
      </c>
      <c r="AZ384" s="8"/>
      <c r="BA384" s="8">
        <f>VLOOKUP(B384,[1]Hoja3!J$3:K$674,2,0)</f>
        <v>118256632</v>
      </c>
      <c r="BB384" s="8"/>
      <c r="BC384" s="8">
        <f t="shared" si="44"/>
        <v>232766482</v>
      </c>
      <c r="BD384" s="4">
        <v>114509850</v>
      </c>
      <c r="BE384" s="4">
        <f t="shared" si="45"/>
        <v>118256632</v>
      </c>
      <c r="BF384" s="30">
        <f t="shared" si="46"/>
        <v>232766482</v>
      </c>
      <c r="BG384" s="18">
        <f t="shared" si="47"/>
        <v>0</v>
      </c>
      <c r="BH384" s="23"/>
      <c r="BI384" s="23"/>
      <c r="BJ384" s="23"/>
    </row>
    <row r="385" spans="1:66" ht="15" customHeight="1" x14ac:dyDescent="0.2">
      <c r="A385" s="1">
        <v>8909808481</v>
      </c>
      <c r="B385" s="1">
        <v>890980848</v>
      </c>
      <c r="C385" s="15">
        <v>218205282</v>
      </c>
      <c r="D385" s="16" t="s">
        <v>87</v>
      </c>
      <c r="E385" s="41" t="s">
        <v>1118</v>
      </c>
      <c r="F385" s="28"/>
      <c r="G385" s="2"/>
      <c r="H385" s="3"/>
      <c r="I385" s="2"/>
      <c r="J385" s="29"/>
      <c r="K385" s="3"/>
      <c r="L385" s="2"/>
      <c r="M385" s="8"/>
      <c r="N385" s="3"/>
      <c r="O385" s="2"/>
      <c r="P385" s="3"/>
      <c r="Q385" s="2"/>
      <c r="R385" s="3"/>
      <c r="S385" s="3"/>
      <c r="T385" s="2"/>
      <c r="U385" s="8">
        <f t="shared" si="42"/>
        <v>0</v>
      </c>
      <c r="V385" s="8"/>
      <c r="W385" s="8"/>
      <c r="X385" s="8"/>
      <c r="Y385" s="8"/>
      <c r="Z385" s="8"/>
      <c r="AA385" s="8"/>
      <c r="AB385" s="8"/>
      <c r="AC385" s="8">
        <f t="shared" si="43"/>
        <v>0</v>
      </c>
      <c r="AD385" s="8"/>
      <c r="AE385" s="8"/>
      <c r="AF385" s="8"/>
      <c r="AG385" s="8"/>
      <c r="AH385" s="8"/>
      <c r="AI385" s="8"/>
      <c r="AJ385" s="8"/>
      <c r="AK385" s="8"/>
      <c r="AL385" s="8"/>
      <c r="AM385" s="8">
        <v>265313232</v>
      </c>
      <c r="AN385" s="8">
        <f>SUBTOTAL(9,AC385:AM385)</f>
        <v>265313232</v>
      </c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>
        <f t="shared" si="44"/>
        <v>265313232</v>
      </c>
      <c r="BD385" s="4"/>
      <c r="BE385" s="4">
        <f t="shared" si="45"/>
        <v>265313232</v>
      </c>
      <c r="BF385" s="30">
        <f t="shared" si="46"/>
        <v>265313232</v>
      </c>
      <c r="BG385" s="18">
        <f t="shared" si="47"/>
        <v>0</v>
      </c>
      <c r="BH385" s="23"/>
      <c r="BI385" s="23"/>
      <c r="BJ385" s="23"/>
    </row>
    <row r="386" spans="1:66" ht="15" customHeight="1" x14ac:dyDescent="0.2">
      <c r="A386" s="1">
        <v>8001000563</v>
      </c>
      <c r="B386" s="1">
        <v>800100056</v>
      </c>
      <c r="C386" s="15">
        <v>218373283</v>
      </c>
      <c r="D386" s="16" t="s">
        <v>2220</v>
      </c>
      <c r="E386" s="41" t="s">
        <v>1945</v>
      </c>
      <c r="F386" s="28"/>
      <c r="G386" s="2"/>
      <c r="H386" s="3"/>
      <c r="I386" s="2"/>
      <c r="J386" s="29"/>
      <c r="K386" s="3"/>
      <c r="L386" s="2"/>
      <c r="M386" s="8"/>
      <c r="N386" s="3"/>
      <c r="O386" s="2"/>
      <c r="P386" s="3"/>
      <c r="Q386" s="2"/>
      <c r="R386" s="3"/>
      <c r="S386" s="3"/>
      <c r="T386" s="2"/>
      <c r="U386" s="8">
        <f t="shared" si="42"/>
        <v>0</v>
      </c>
      <c r="V386" s="8"/>
      <c r="W386" s="8"/>
      <c r="X386" s="8"/>
      <c r="Y386" s="8"/>
      <c r="Z386" s="8"/>
      <c r="AA386" s="8"/>
      <c r="AB386" s="8"/>
      <c r="AC386" s="8">
        <f t="shared" si="43"/>
        <v>0</v>
      </c>
      <c r="AD386" s="8"/>
      <c r="AE386" s="8"/>
      <c r="AF386" s="8"/>
      <c r="AG386" s="8"/>
      <c r="AH386" s="8"/>
      <c r="AI386" s="8"/>
      <c r="AJ386" s="8"/>
      <c r="AK386" s="8"/>
      <c r="AL386" s="8"/>
      <c r="AM386" s="8">
        <v>507095759</v>
      </c>
      <c r="AN386" s="8">
        <f>SUBTOTAL(9,AC386:AM386)</f>
        <v>507095759</v>
      </c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>
        <f t="shared" si="44"/>
        <v>507095759</v>
      </c>
      <c r="BD386" s="4"/>
      <c r="BE386" s="4">
        <f t="shared" si="45"/>
        <v>507095759</v>
      </c>
      <c r="BF386" s="30">
        <f t="shared" si="46"/>
        <v>507095759</v>
      </c>
      <c r="BG386" s="18">
        <f t="shared" si="47"/>
        <v>0</v>
      </c>
      <c r="BH386" s="23"/>
      <c r="BI386" s="23"/>
      <c r="BJ386" s="23"/>
    </row>
    <row r="387" spans="1:66" ht="15" customHeight="1" x14ac:dyDescent="0.2">
      <c r="A387" s="1">
        <v>8909837068</v>
      </c>
      <c r="B387" s="1">
        <v>890983706</v>
      </c>
      <c r="C387" s="15">
        <v>218405284</v>
      </c>
      <c r="D387" s="16" t="s">
        <v>88</v>
      </c>
      <c r="E387" s="41" t="s">
        <v>1119</v>
      </c>
      <c r="F387" s="28"/>
      <c r="G387" s="2"/>
      <c r="H387" s="3"/>
      <c r="I387" s="2"/>
      <c r="J387" s="29"/>
      <c r="K387" s="3"/>
      <c r="L387" s="2"/>
      <c r="M387" s="8"/>
      <c r="N387" s="3"/>
      <c r="O387" s="2"/>
      <c r="P387" s="3"/>
      <c r="Q387" s="2"/>
      <c r="R387" s="3"/>
      <c r="S387" s="3"/>
      <c r="T387" s="2"/>
      <c r="U387" s="8">
        <f t="shared" ref="U387:U450" si="50">SUM(M387:T387)</f>
        <v>0</v>
      </c>
      <c r="V387" s="8"/>
      <c r="W387" s="8"/>
      <c r="X387" s="8"/>
      <c r="Y387" s="8"/>
      <c r="Z387" s="8"/>
      <c r="AA387" s="8"/>
      <c r="AB387" s="8"/>
      <c r="AC387" s="8">
        <f t="shared" si="43"/>
        <v>0</v>
      </c>
      <c r="AD387" s="8"/>
      <c r="AE387" s="8"/>
      <c r="AF387" s="8"/>
      <c r="AG387" s="8"/>
      <c r="AH387" s="8"/>
      <c r="AI387" s="8"/>
      <c r="AJ387" s="8"/>
      <c r="AK387" s="8"/>
      <c r="AL387" s="8"/>
      <c r="AM387" s="8">
        <v>251695784</v>
      </c>
      <c r="AN387" s="8">
        <f>SUBTOTAL(9,AC387:AM387)</f>
        <v>251695784</v>
      </c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>
        <v>195193590</v>
      </c>
      <c r="AZ387" s="8"/>
      <c r="BA387" s="8">
        <f>VLOOKUP(B387,[1]Hoja3!J$3:K$674,2,0)</f>
        <v>41002011</v>
      </c>
      <c r="BB387" s="8">
        <f>VLOOKUP(B387,'[2]anuladas en mayo gratuidad}'!K$2:L$55,2,0)</f>
        <v>57303217</v>
      </c>
      <c r="BC387" s="8">
        <f t="shared" si="44"/>
        <v>430588168</v>
      </c>
      <c r="BD387" s="4">
        <v>195193590</v>
      </c>
      <c r="BE387" s="4">
        <f t="shared" si="45"/>
        <v>235394578</v>
      </c>
      <c r="BF387" s="30">
        <f t="shared" si="46"/>
        <v>430588168</v>
      </c>
      <c r="BG387" s="18">
        <f t="shared" si="47"/>
        <v>0</v>
      </c>
      <c r="BH387" s="23"/>
      <c r="BI387" s="23"/>
      <c r="BJ387" s="23"/>
    </row>
    <row r="388" spans="1:66" ht="15" customHeight="1" x14ac:dyDescent="0.2">
      <c r="A388" s="1">
        <v>8920991831</v>
      </c>
      <c r="B388" s="1">
        <v>892099183</v>
      </c>
      <c r="C388" s="15">
        <v>218750287</v>
      </c>
      <c r="D388" s="16" t="s">
        <v>674</v>
      </c>
      <c r="E388" s="41" t="s">
        <v>1696</v>
      </c>
      <c r="F388" s="28"/>
      <c r="G388" s="2"/>
      <c r="H388" s="3"/>
      <c r="I388" s="2"/>
      <c r="J388" s="29"/>
      <c r="K388" s="3"/>
      <c r="L388" s="2"/>
      <c r="M388" s="8"/>
      <c r="N388" s="3"/>
      <c r="O388" s="2"/>
      <c r="P388" s="3"/>
      <c r="Q388" s="2"/>
      <c r="R388" s="3"/>
      <c r="S388" s="3"/>
      <c r="T388" s="2"/>
      <c r="U388" s="8">
        <f t="shared" si="50"/>
        <v>0</v>
      </c>
      <c r="V388" s="8"/>
      <c r="W388" s="8"/>
      <c r="X388" s="8"/>
      <c r="Y388" s="8"/>
      <c r="Z388" s="8"/>
      <c r="AA388" s="8"/>
      <c r="AB388" s="8"/>
      <c r="AC388" s="8">
        <f t="shared" ref="AC388:AC451" si="51">SUM(U388:AB388)</f>
        <v>0</v>
      </c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>
        <v>82014935</v>
      </c>
      <c r="AZ388" s="8"/>
      <c r="BA388" s="8">
        <f>VLOOKUP(B388,[1]Hoja3!J$3:K$674,2,0)</f>
        <v>215050391</v>
      </c>
      <c r="BB388" s="8"/>
      <c r="BC388" s="8">
        <f t="shared" ref="BC388:BC451" si="52">SUM(AN388:BA388)-BB388</f>
        <v>297065326</v>
      </c>
      <c r="BD388" s="4">
        <v>82014935</v>
      </c>
      <c r="BE388" s="4">
        <f t="shared" ref="BE388:BE451" si="53">+AM388+BA388-BB388</f>
        <v>215050391</v>
      </c>
      <c r="BF388" s="30">
        <f t="shared" ref="BF388:BF451" si="54">+BD388+BE388</f>
        <v>297065326</v>
      </c>
      <c r="BG388" s="18">
        <f t="shared" ref="BG388:BG451" si="55">+BC388-BF388</f>
        <v>0</v>
      </c>
      <c r="BH388" s="23"/>
      <c r="BI388" s="23"/>
      <c r="BJ388" s="23"/>
    </row>
    <row r="389" spans="1:66" ht="15" customHeight="1" x14ac:dyDescent="0.2">
      <c r="A389" s="1">
        <v>8917800451</v>
      </c>
      <c r="B389" s="1">
        <v>891780045</v>
      </c>
      <c r="C389" s="15">
        <v>218847288</v>
      </c>
      <c r="D389" s="16" t="s">
        <v>648</v>
      </c>
      <c r="E389" s="41" t="s">
        <v>1668</v>
      </c>
      <c r="F389" s="28"/>
      <c r="G389" s="2"/>
      <c r="H389" s="3"/>
      <c r="I389" s="2"/>
      <c r="J389" s="29"/>
      <c r="K389" s="3"/>
      <c r="L389" s="2"/>
      <c r="M389" s="8"/>
      <c r="N389" s="3"/>
      <c r="O389" s="2"/>
      <c r="P389" s="3"/>
      <c r="Q389" s="2"/>
      <c r="R389" s="3"/>
      <c r="S389" s="3"/>
      <c r="T389" s="2"/>
      <c r="U389" s="8">
        <f t="shared" si="50"/>
        <v>0</v>
      </c>
      <c r="V389" s="8"/>
      <c r="W389" s="8"/>
      <c r="X389" s="8"/>
      <c r="Y389" s="8"/>
      <c r="Z389" s="8"/>
      <c r="AA389" s="8"/>
      <c r="AB389" s="8"/>
      <c r="AC389" s="8">
        <f t="shared" si="51"/>
        <v>0</v>
      </c>
      <c r="AD389" s="8"/>
      <c r="AE389" s="8"/>
      <c r="AF389" s="8"/>
      <c r="AG389" s="8"/>
      <c r="AH389" s="8"/>
      <c r="AI389" s="8"/>
      <c r="AJ389" s="8"/>
      <c r="AK389" s="8"/>
      <c r="AL389" s="8"/>
      <c r="AM389" s="8">
        <v>1046400396</v>
      </c>
      <c r="AN389" s="8">
        <f t="shared" ref="AN389:AN394" si="56">SUBTOTAL(9,AC389:AM389)</f>
        <v>1046400396</v>
      </c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>
        <v>563538720</v>
      </c>
      <c r="AZ389" s="8"/>
      <c r="BA389" s="8">
        <f>VLOOKUP(B389,[1]Hoja3!J$3:K$674,2,0)</f>
        <v>244218764</v>
      </c>
      <c r="BB389" s="8">
        <f>VLOOKUP(B389,'[2]anuladas en mayo gratuidad}'!K$2:L$55,2,0)</f>
        <v>183902248</v>
      </c>
      <c r="BC389" s="8">
        <f t="shared" si="52"/>
        <v>1670255632</v>
      </c>
      <c r="BD389" s="4">
        <v>563538720</v>
      </c>
      <c r="BE389" s="4">
        <f t="shared" si="53"/>
        <v>1106716912</v>
      </c>
      <c r="BF389" s="30">
        <f t="shared" si="54"/>
        <v>1670255632</v>
      </c>
      <c r="BG389" s="18">
        <f t="shared" si="55"/>
        <v>0</v>
      </c>
      <c r="BH389" s="23"/>
      <c r="BI389" s="23"/>
      <c r="BJ389" s="23"/>
    </row>
    <row r="390" spans="1:66" ht="15" customHeight="1" x14ac:dyDescent="0.2">
      <c r="A390" s="1">
        <v>8000990892</v>
      </c>
      <c r="B390" s="1">
        <v>800099089</v>
      </c>
      <c r="C390" s="15">
        <v>218752287</v>
      </c>
      <c r="D390" s="16" t="s">
        <v>710</v>
      </c>
      <c r="E390" s="41" t="s">
        <v>1734</v>
      </c>
      <c r="F390" s="28"/>
      <c r="G390" s="2"/>
      <c r="H390" s="3"/>
      <c r="I390" s="2"/>
      <c r="J390" s="29"/>
      <c r="K390" s="3"/>
      <c r="L390" s="2"/>
      <c r="M390" s="8"/>
      <c r="N390" s="3"/>
      <c r="O390" s="2"/>
      <c r="P390" s="3"/>
      <c r="Q390" s="2"/>
      <c r="R390" s="3"/>
      <c r="S390" s="3"/>
      <c r="T390" s="2"/>
      <c r="U390" s="8">
        <f t="shared" si="50"/>
        <v>0</v>
      </c>
      <c r="V390" s="8"/>
      <c r="W390" s="8"/>
      <c r="X390" s="8"/>
      <c r="Y390" s="8"/>
      <c r="Z390" s="8"/>
      <c r="AA390" s="8"/>
      <c r="AB390" s="8"/>
      <c r="AC390" s="8">
        <f t="shared" si="51"/>
        <v>0</v>
      </c>
      <c r="AD390" s="8"/>
      <c r="AE390" s="8"/>
      <c r="AF390" s="8"/>
      <c r="AG390" s="8"/>
      <c r="AH390" s="8"/>
      <c r="AI390" s="8"/>
      <c r="AJ390" s="8"/>
      <c r="AK390" s="8"/>
      <c r="AL390" s="8"/>
      <c r="AM390" s="8">
        <v>17936589</v>
      </c>
      <c r="AN390" s="8">
        <f t="shared" si="56"/>
        <v>17936589</v>
      </c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>
        <f>VLOOKUP(B390,[1]Hoja3!J$3:K$674,2,0)</f>
        <v>65723652</v>
      </c>
      <c r="BB390" s="8"/>
      <c r="BC390" s="8">
        <f t="shared" si="52"/>
        <v>83660241</v>
      </c>
      <c r="BD390" s="4"/>
      <c r="BE390" s="4">
        <f t="shared" si="53"/>
        <v>83660241</v>
      </c>
      <c r="BF390" s="30">
        <f t="shared" si="54"/>
        <v>83660241</v>
      </c>
      <c r="BG390" s="18">
        <f t="shared" si="55"/>
        <v>0</v>
      </c>
      <c r="BH390" s="23"/>
      <c r="BI390" s="23"/>
      <c r="BJ390" s="23"/>
    </row>
    <row r="391" spans="1:66" ht="15" customHeight="1" x14ac:dyDescent="0.2">
      <c r="A391" s="1">
        <v>8999994335</v>
      </c>
      <c r="B391" s="1">
        <v>899999433</v>
      </c>
      <c r="C391" s="15">
        <v>218625286</v>
      </c>
      <c r="D391" s="16" t="s">
        <v>487</v>
      </c>
      <c r="E391" s="41" t="s">
        <v>1514</v>
      </c>
      <c r="F391" s="28"/>
      <c r="G391" s="2"/>
      <c r="H391" s="3"/>
      <c r="I391" s="2"/>
      <c r="J391" s="29"/>
      <c r="K391" s="3"/>
      <c r="L391" s="2"/>
      <c r="M391" s="8"/>
      <c r="N391" s="3"/>
      <c r="O391" s="2"/>
      <c r="P391" s="3"/>
      <c r="Q391" s="2"/>
      <c r="R391" s="3"/>
      <c r="S391" s="3"/>
      <c r="T391" s="2"/>
      <c r="U391" s="8">
        <f t="shared" si="50"/>
        <v>0</v>
      </c>
      <c r="V391" s="8"/>
      <c r="W391" s="8"/>
      <c r="X391" s="8"/>
      <c r="Y391" s="8"/>
      <c r="Z391" s="8"/>
      <c r="AA391" s="8"/>
      <c r="AB391" s="8"/>
      <c r="AC391" s="8">
        <f t="shared" si="51"/>
        <v>0</v>
      </c>
      <c r="AD391" s="8"/>
      <c r="AE391" s="8"/>
      <c r="AF391" s="8"/>
      <c r="AG391" s="8"/>
      <c r="AH391" s="8"/>
      <c r="AI391" s="8"/>
      <c r="AJ391" s="8"/>
      <c r="AK391" s="8"/>
      <c r="AL391" s="8"/>
      <c r="AM391" s="8">
        <v>743838988</v>
      </c>
      <c r="AN391" s="8">
        <f t="shared" si="56"/>
        <v>743838988</v>
      </c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>
        <f t="shared" si="52"/>
        <v>743838988</v>
      </c>
      <c r="BD391" s="4"/>
      <c r="BE391" s="4">
        <f t="shared" si="53"/>
        <v>743838988</v>
      </c>
      <c r="BF391" s="30">
        <f t="shared" si="54"/>
        <v>743838988</v>
      </c>
      <c r="BG391" s="18">
        <f t="shared" si="55"/>
        <v>0</v>
      </c>
      <c r="BH391" s="23"/>
      <c r="BI391" s="23"/>
      <c r="BJ391" s="23"/>
    </row>
    <row r="392" spans="1:66" ht="15" customHeight="1" x14ac:dyDescent="0.2">
      <c r="A392" s="1">
        <v>8999993233</v>
      </c>
      <c r="B392" s="1">
        <v>899999323</v>
      </c>
      <c r="C392" s="15">
        <v>218825288</v>
      </c>
      <c r="D392" s="16" t="s">
        <v>488</v>
      </c>
      <c r="E392" s="41" t="s">
        <v>1515</v>
      </c>
      <c r="F392" s="28"/>
      <c r="G392" s="2"/>
      <c r="H392" s="3"/>
      <c r="I392" s="2"/>
      <c r="J392" s="29"/>
      <c r="K392" s="3"/>
      <c r="L392" s="2"/>
      <c r="M392" s="8"/>
      <c r="N392" s="3"/>
      <c r="O392" s="2"/>
      <c r="P392" s="3"/>
      <c r="Q392" s="2"/>
      <c r="R392" s="3"/>
      <c r="S392" s="3"/>
      <c r="T392" s="2"/>
      <c r="U392" s="8">
        <f t="shared" si="50"/>
        <v>0</v>
      </c>
      <c r="V392" s="8"/>
      <c r="W392" s="8"/>
      <c r="X392" s="8"/>
      <c r="Y392" s="8"/>
      <c r="Z392" s="8"/>
      <c r="AA392" s="8"/>
      <c r="AB392" s="8"/>
      <c r="AC392" s="8">
        <f t="shared" si="51"/>
        <v>0</v>
      </c>
      <c r="AD392" s="8"/>
      <c r="AE392" s="8"/>
      <c r="AF392" s="8"/>
      <c r="AG392" s="8"/>
      <c r="AH392" s="8"/>
      <c r="AI392" s="8"/>
      <c r="AJ392" s="8"/>
      <c r="AK392" s="8"/>
      <c r="AL392" s="8"/>
      <c r="AM392" s="8">
        <v>98347353</v>
      </c>
      <c r="AN392" s="8">
        <f t="shared" si="56"/>
        <v>98347353</v>
      </c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>
        <f>VLOOKUP(B392,[1]Hoja3!J$3:K$674,2,0)</f>
        <v>29132340</v>
      </c>
      <c r="BB392" s="8"/>
      <c r="BC392" s="8">
        <f t="shared" si="52"/>
        <v>127479693</v>
      </c>
      <c r="BD392" s="4"/>
      <c r="BE392" s="4">
        <f t="shared" si="53"/>
        <v>127479693</v>
      </c>
      <c r="BF392" s="30">
        <f t="shared" si="54"/>
        <v>127479693</v>
      </c>
      <c r="BG392" s="18">
        <f t="shared" si="55"/>
        <v>0</v>
      </c>
      <c r="BH392" s="23"/>
      <c r="BI392" s="23"/>
      <c r="BJ392" s="23"/>
    </row>
    <row r="393" spans="1:66" ht="15" customHeight="1" x14ac:dyDescent="0.2">
      <c r="A393" s="1">
        <v>8000946717</v>
      </c>
      <c r="B393" s="1">
        <v>800094671</v>
      </c>
      <c r="C393" s="15">
        <v>219325293</v>
      </c>
      <c r="D393" s="16" t="s">
        <v>489</v>
      </c>
      <c r="E393" s="41" t="s">
        <v>1516</v>
      </c>
      <c r="F393" s="28"/>
      <c r="G393" s="2"/>
      <c r="H393" s="3"/>
      <c r="I393" s="2"/>
      <c r="J393" s="29"/>
      <c r="K393" s="3"/>
      <c r="L393" s="2"/>
      <c r="M393" s="8"/>
      <c r="N393" s="3"/>
      <c r="O393" s="2"/>
      <c r="P393" s="3"/>
      <c r="Q393" s="2"/>
      <c r="R393" s="3"/>
      <c r="S393" s="3"/>
      <c r="T393" s="2"/>
      <c r="U393" s="8">
        <f t="shared" si="50"/>
        <v>0</v>
      </c>
      <c r="V393" s="8"/>
      <c r="W393" s="8"/>
      <c r="X393" s="8"/>
      <c r="Y393" s="8"/>
      <c r="Z393" s="8"/>
      <c r="AA393" s="8"/>
      <c r="AB393" s="8"/>
      <c r="AC393" s="8">
        <f t="shared" si="51"/>
        <v>0</v>
      </c>
      <c r="AD393" s="8"/>
      <c r="AE393" s="8"/>
      <c r="AF393" s="8"/>
      <c r="AG393" s="8"/>
      <c r="AH393" s="8"/>
      <c r="AI393" s="8"/>
      <c r="AJ393" s="8"/>
      <c r="AK393" s="8"/>
      <c r="AL393" s="8"/>
      <c r="AM393" s="8">
        <v>67163446</v>
      </c>
      <c r="AN393" s="8">
        <f t="shared" si="56"/>
        <v>67163446</v>
      </c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>
        <f t="shared" si="52"/>
        <v>67163446</v>
      </c>
      <c r="BD393" s="4"/>
      <c r="BE393" s="4">
        <f t="shared" si="53"/>
        <v>67163446</v>
      </c>
      <c r="BF393" s="30">
        <f t="shared" si="54"/>
        <v>67163446</v>
      </c>
      <c r="BG393" s="18">
        <f t="shared" si="55"/>
        <v>0</v>
      </c>
      <c r="BH393" s="23"/>
      <c r="BI393" s="23"/>
      <c r="BJ393" s="23"/>
    </row>
    <row r="394" spans="1:66" ht="15" customHeight="1" x14ac:dyDescent="0.2">
      <c r="A394" s="1">
        <v>8999994191</v>
      </c>
      <c r="B394" s="1">
        <v>899999419</v>
      </c>
      <c r="C394" s="15">
        <v>219525295</v>
      </c>
      <c r="D394" s="16" t="s">
        <v>490</v>
      </c>
      <c r="E394" s="41" t="s">
        <v>1517</v>
      </c>
      <c r="F394" s="28"/>
      <c r="G394" s="2"/>
      <c r="H394" s="3"/>
      <c r="I394" s="2"/>
      <c r="J394" s="29"/>
      <c r="K394" s="3"/>
      <c r="L394" s="2"/>
      <c r="M394" s="8"/>
      <c r="N394" s="3"/>
      <c r="O394" s="2"/>
      <c r="P394" s="3"/>
      <c r="Q394" s="2"/>
      <c r="R394" s="3"/>
      <c r="S394" s="3"/>
      <c r="T394" s="2"/>
      <c r="U394" s="8">
        <f t="shared" si="50"/>
        <v>0</v>
      </c>
      <c r="V394" s="8"/>
      <c r="W394" s="8"/>
      <c r="X394" s="8"/>
      <c r="Y394" s="8"/>
      <c r="Z394" s="8"/>
      <c r="AA394" s="8"/>
      <c r="AB394" s="8"/>
      <c r="AC394" s="8">
        <f t="shared" si="51"/>
        <v>0</v>
      </c>
      <c r="AD394" s="8"/>
      <c r="AE394" s="8"/>
      <c r="AF394" s="8"/>
      <c r="AG394" s="8"/>
      <c r="AH394" s="8"/>
      <c r="AI394" s="8"/>
      <c r="AJ394" s="8"/>
      <c r="AK394" s="8"/>
      <c r="AL394" s="8"/>
      <c r="AM394" s="8">
        <v>189326749</v>
      </c>
      <c r="AN394" s="8">
        <f t="shared" si="56"/>
        <v>189326749</v>
      </c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>
        <v>62634100</v>
      </c>
      <c r="AZ394" s="8"/>
      <c r="BA394" s="8"/>
      <c r="BB394" s="8"/>
      <c r="BC394" s="8">
        <f t="shared" si="52"/>
        <v>251960849</v>
      </c>
      <c r="BD394" s="4">
        <v>62634100</v>
      </c>
      <c r="BE394" s="4">
        <f t="shared" si="53"/>
        <v>189326749</v>
      </c>
      <c r="BF394" s="30">
        <f t="shared" si="54"/>
        <v>251960849</v>
      </c>
      <c r="BG394" s="18">
        <f t="shared" si="55"/>
        <v>0</v>
      </c>
      <c r="BH394" s="23"/>
      <c r="BI394" s="23"/>
      <c r="BJ394" s="23"/>
    </row>
    <row r="395" spans="1:66" ht="15" customHeight="1" x14ac:dyDescent="0.2">
      <c r="A395" s="1">
        <v>8000200459</v>
      </c>
      <c r="B395" s="1">
        <v>800020045</v>
      </c>
      <c r="C395" s="15">
        <v>219315293</v>
      </c>
      <c r="D395" s="16" t="s">
        <v>251</v>
      </c>
      <c r="E395" s="41" t="s">
        <v>1286</v>
      </c>
      <c r="F395" s="28"/>
      <c r="G395" s="17"/>
      <c r="H395" s="3"/>
      <c r="I395" s="2"/>
      <c r="J395" s="29"/>
      <c r="K395" s="3"/>
      <c r="L395" s="17"/>
      <c r="M395" s="34"/>
      <c r="N395" s="3"/>
      <c r="O395" s="17"/>
      <c r="P395" s="3"/>
      <c r="Q395" s="2"/>
      <c r="R395" s="3"/>
      <c r="S395" s="3"/>
      <c r="T395" s="17"/>
      <c r="U395" s="8">
        <f t="shared" si="50"/>
        <v>0</v>
      </c>
      <c r="V395" s="8"/>
      <c r="W395" s="8"/>
      <c r="X395" s="8"/>
      <c r="Y395" s="8"/>
      <c r="Z395" s="8"/>
      <c r="AA395" s="8"/>
      <c r="AB395" s="8"/>
      <c r="AC395" s="8">
        <f t="shared" si="51"/>
        <v>0</v>
      </c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>
        <v>32449520</v>
      </c>
      <c r="AZ395" s="8"/>
      <c r="BA395" s="8">
        <f>VLOOKUP(B395,[1]Hoja3!J$3:K$674,2,0)</f>
        <v>51340504</v>
      </c>
      <c r="BB395" s="8"/>
      <c r="BC395" s="8">
        <f t="shared" si="52"/>
        <v>83790024</v>
      </c>
      <c r="BD395" s="4">
        <v>32449520</v>
      </c>
      <c r="BE395" s="4">
        <f t="shared" si="53"/>
        <v>51340504</v>
      </c>
      <c r="BF395" s="30">
        <f t="shared" si="54"/>
        <v>83790024</v>
      </c>
      <c r="BG395" s="18">
        <f t="shared" si="55"/>
        <v>0</v>
      </c>
      <c r="BH395" s="23"/>
      <c r="BI395" s="14"/>
      <c r="BJ395" s="14"/>
      <c r="BK395" s="14"/>
      <c r="BL395" s="14"/>
      <c r="BM395" s="14"/>
      <c r="BN395" s="14"/>
    </row>
    <row r="396" spans="1:66" ht="15" customHeight="1" x14ac:dyDescent="0.2">
      <c r="A396" s="1">
        <v>8999993312</v>
      </c>
      <c r="B396" s="1">
        <v>899999331</v>
      </c>
      <c r="C396" s="15">
        <v>219725297</v>
      </c>
      <c r="D396" s="16" t="s">
        <v>491</v>
      </c>
      <c r="E396" s="41" t="s">
        <v>1518</v>
      </c>
      <c r="F396" s="28"/>
      <c r="G396" s="2"/>
      <c r="H396" s="3"/>
      <c r="I396" s="2"/>
      <c r="J396" s="29"/>
      <c r="K396" s="3"/>
      <c r="L396" s="2"/>
      <c r="M396" s="8"/>
      <c r="N396" s="3"/>
      <c r="O396" s="2"/>
      <c r="P396" s="3"/>
      <c r="Q396" s="2"/>
      <c r="R396" s="3"/>
      <c r="S396" s="3"/>
      <c r="T396" s="2"/>
      <c r="U396" s="8">
        <f t="shared" si="50"/>
        <v>0</v>
      </c>
      <c r="V396" s="8"/>
      <c r="W396" s="8"/>
      <c r="X396" s="8"/>
      <c r="Y396" s="8"/>
      <c r="Z396" s="8"/>
      <c r="AA396" s="8"/>
      <c r="AB396" s="8"/>
      <c r="AC396" s="8">
        <f t="shared" si="51"/>
        <v>0</v>
      </c>
      <c r="AD396" s="8"/>
      <c r="AE396" s="8"/>
      <c r="AF396" s="8"/>
      <c r="AG396" s="8"/>
      <c r="AH396" s="8"/>
      <c r="AI396" s="8"/>
      <c r="AJ396" s="8"/>
      <c r="AK396" s="8"/>
      <c r="AL396" s="8"/>
      <c r="AM396" s="8">
        <v>127758638</v>
      </c>
      <c r="AN396" s="8">
        <f t="shared" ref="AN396:AN401" si="57">SUBTOTAL(9,AC396:AM396)</f>
        <v>127758638</v>
      </c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>
        <f t="shared" si="52"/>
        <v>127758638</v>
      </c>
      <c r="BD396" s="4"/>
      <c r="BE396" s="4">
        <f t="shared" si="53"/>
        <v>127758638</v>
      </c>
      <c r="BF396" s="30">
        <f t="shared" si="54"/>
        <v>127758638</v>
      </c>
      <c r="BG396" s="18">
        <f t="shared" si="55"/>
        <v>0</v>
      </c>
      <c r="BH396" s="23"/>
      <c r="BI396" s="23"/>
      <c r="BJ396" s="23"/>
    </row>
    <row r="397" spans="1:66" ht="15" customHeight="1" x14ac:dyDescent="0.2">
      <c r="A397" s="1">
        <v>8902067224</v>
      </c>
      <c r="B397" s="1">
        <v>890206722</v>
      </c>
      <c r="C397" s="15">
        <v>219668296</v>
      </c>
      <c r="D397" s="16" t="s">
        <v>840</v>
      </c>
      <c r="E397" s="41" t="s">
        <v>1856</v>
      </c>
      <c r="F397" s="28"/>
      <c r="G397" s="2"/>
      <c r="H397" s="3"/>
      <c r="I397" s="2"/>
      <c r="J397" s="29"/>
      <c r="K397" s="3"/>
      <c r="L397" s="2"/>
      <c r="M397" s="8"/>
      <c r="N397" s="3"/>
      <c r="O397" s="2"/>
      <c r="P397" s="3"/>
      <c r="Q397" s="2"/>
      <c r="R397" s="3"/>
      <c r="S397" s="3"/>
      <c r="T397" s="2"/>
      <c r="U397" s="8">
        <f t="shared" si="50"/>
        <v>0</v>
      </c>
      <c r="V397" s="8"/>
      <c r="W397" s="8"/>
      <c r="X397" s="8"/>
      <c r="Y397" s="8"/>
      <c r="Z397" s="8"/>
      <c r="AA397" s="8"/>
      <c r="AB397" s="8"/>
      <c r="AC397" s="8">
        <f t="shared" si="51"/>
        <v>0</v>
      </c>
      <c r="AD397" s="8"/>
      <c r="AE397" s="8"/>
      <c r="AF397" s="8"/>
      <c r="AG397" s="8"/>
      <c r="AH397" s="8"/>
      <c r="AI397" s="8"/>
      <c r="AJ397" s="8"/>
      <c r="AK397" s="8"/>
      <c r="AL397" s="8"/>
      <c r="AM397" s="8">
        <v>16911336</v>
      </c>
      <c r="AN397" s="8">
        <f t="shared" si="57"/>
        <v>16911336</v>
      </c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>
        <v>20839605</v>
      </c>
      <c r="AZ397" s="8"/>
      <c r="BA397" s="8">
        <f>VLOOKUP(B397,[1]Hoja3!J$3:K$674,2,0)</f>
        <v>26235802</v>
      </c>
      <c r="BB397" s="8"/>
      <c r="BC397" s="8">
        <f t="shared" si="52"/>
        <v>63986743</v>
      </c>
      <c r="BD397" s="4">
        <v>20839605</v>
      </c>
      <c r="BE397" s="4">
        <f t="shared" si="53"/>
        <v>43147138</v>
      </c>
      <c r="BF397" s="30">
        <f t="shared" si="54"/>
        <v>63986743</v>
      </c>
      <c r="BG397" s="18">
        <f t="shared" si="55"/>
        <v>0</v>
      </c>
      <c r="BH397" s="23"/>
      <c r="BI397" s="23"/>
      <c r="BJ397" s="23"/>
    </row>
    <row r="398" spans="1:66" ht="15" customHeight="1" x14ac:dyDescent="0.2">
      <c r="A398" s="1">
        <v>8901024720</v>
      </c>
      <c r="B398" s="1">
        <v>890102472</v>
      </c>
      <c r="C398" s="15">
        <v>219608296</v>
      </c>
      <c r="D398" s="16" t="s">
        <v>164</v>
      </c>
      <c r="E398" s="41" t="s">
        <v>1192</v>
      </c>
      <c r="F398" s="28"/>
      <c r="G398" s="2"/>
      <c r="H398" s="3"/>
      <c r="I398" s="2"/>
      <c r="J398" s="29"/>
      <c r="K398" s="3"/>
      <c r="L398" s="2"/>
      <c r="M398" s="8"/>
      <c r="N398" s="3"/>
      <c r="O398" s="2"/>
      <c r="P398" s="3"/>
      <c r="Q398" s="2"/>
      <c r="R398" s="3"/>
      <c r="S398" s="3"/>
      <c r="T398" s="2"/>
      <c r="U398" s="8">
        <f t="shared" si="50"/>
        <v>0</v>
      </c>
      <c r="V398" s="8"/>
      <c r="W398" s="8"/>
      <c r="X398" s="8"/>
      <c r="Y398" s="8"/>
      <c r="Z398" s="8"/>
      <c r="AA398" s="8"/>
      <c r="AB398" s="8"/>
      <c r="AC398" s="8">
        <f t="shared" si="51"/>
        <v>0</v>
      </c>
      <c r="AD398" s="8"/>
      <c r="AE398" s="8"/>
      <c r="AF398" s="8"/>
      <c r="AG398" s="8"/>
      <c r="AH398" s="8"/>
      <c r="AI398" s="8"/>
      <c r="AJ398" s="8"/>
      <c r="AK398" s="8"/>
      <c r="AL398" s="8"/>
      <c r="AM398" s="8">
        <v>521072348</v>
      </c>
      <c r="AN398" s="8">
        <f t="shared" si="57"/>
        <v>521072348</v>
      </c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>
        <v>285524400</v>
      </c>
      <c r="AZ398" s="8"/>
      <c r="BA398" s="8"/>
      <c r="BB398" s="8"/>
      <c r="BC398" s="8">
        <f t="shared" si="52"/>
        <v>806596748</v>
      </c>
      <c r="BD398" s="4">
        <v>285524400</v>
      </c>
      <c r="BE398" s="4">
        <f t="shared" si="53"/>
        <v>521072348</v>
      </c>
      <c r="BF398" s="30">
        <f t="shared" si="54"/>
        <v>806596748</v>
      </c>
      <c r="BG398" s="18">
        <f t="shared" si="55"/>
        <v>0</v>
      </c>
      <c r="BH398" s="23"/>
      <c r="BI398" s="23"/>
      <c r="BJ398" s="23"/>
    </row>
    <row r="399" spans="1:66" ht="15" customHeight="1" x14ac:dyDescent="0.2">
      <c r="A399" s="1">
        <v>8000498260</v>
      </c>
      <c r="B399" s="1">
        <v>800049826</v>
      </c>
      <c r="C399" s="15">
        <v>213570235</v>
      </c>
      <c r="D399" s="16" t="s">
        <v>897</v>
      </c>
      <c r="E399" s="41" t="s">
        <v>1911</v>
      </c>
      <c r="F399" s="28"/>
      <c r="G399" s="2"/>
      <c r="H399" s="3"/>
      <c r="I399" s="2"/>
      <c r="J399" s="29"/>
      <c r="K399" s="3"/>
      <c r="L399" s="2"/>
      <c r="M399" s="8"/>
      <c r="N399" s="3"/>
      <c r="O399" s="2"/>
      <c r="P399" s="3"/>
      <c r="Q399" s="2"/>
      <c r="R399" s="3"/>
      <c r="S399" s="3"/>
      <c r="T399" s="2"/>
      <c r="U399" s="8">
        <f t="shared" si="50"/>
        <v>0</v>
      </c>
      <c r="V399" s="8"/>
      <c r="W399" s="8"/>
      <c r="X399" s="8"/>
      <c r="Y399" s="8"/>
      <c r="Z399" s="8"/>
      <c r="AA399" s="8"/>
      <c r="AB399" s="8"/>
      <c r="AC399" s="8">
        <f t="shared" si="51"/>
        <v>0</v>
      </c>
      <c r="AD399" s="8"/>
      <c r="AE399" s="8"/>
      <c r="AF399" s="8"/>
      <c r="AG399" s="8"/>
      <c r="AH399" s="8"/>
      <c r="AI399" s="8"/>
      <c r="AJ399" s="8"/>
      <c r="AK399" s="8"/>
      <c r="AL399" s="8"/>
      <c r="AM399" s="8">
        <v>38893863</v>
      </c>
      <c r="AN399" s="8">
        <f t="shared" si="57"/>
        <v>38893863</v>
      </c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>
        <v>189080835</v>
      </c>
      <c r="AZ399" s="8"/>
      <c r="BA399" s="8">
        <f>VLOOKUP(B399,[1]Hoja3!J$3:K$674,2,0)</f>
        <v>331009626</v>
      </c>
      <c r="BB399" s="8"/>
      <c r="BC399" s="8">
        <f t="shared" si="52"/>
        <v>558984324</v>
      </c>
      <c r="BD399" s="4">
        <v>189080835</v>
      </c>
      <c r="BE399" s="4">
        <f t="shared" si="53"/>
        <v>369903489</v>
      </c>
      <c r="BF399" s="30">
        <f t="shared" si="54"/>
        <v>558984324</v>
      </c>
      <c r="BG399" s="18">
        <f t="shared" si="55"/>
        <v>0</v>
      </c>
      <c r="BH399" s="23"/>
      <c r="BI399" s="23"/>
      <c r="BJ399" s="23"/>
    </row>
    <row r="400" spans="1:66" ht="15" customHeight="1" x14ac:dyDescent="0.2">
      <c r="A400" s="1">
        <v>8000946842</v>
      </c>
      <c r="B400" s="1">
        <v>800094684</v>
      </c>
      <c r="C400" s="15">
        <v>219925299</v>
      </c>
      <c r="D400" s="16" t="s">
        <v>492</v>
      </c>
      <c r="E400" s="41" t="s">
        <v>1519</v>
      </c>
      <c r="F400" s="28"/>
      <c r="G400" s="2"/>
      <c r="H400" s="3"/>
      <c r="I400" s="2"/>
      <c r="J400" s="29"/>
      <c r="K400" s="3"/>
      <c r="L400" s="2"/>
      <c r="M400" s="8"/>
      <c r="N400" s="3"/>
      <c r="O400" s="2"/>
      <c r="P400" s="3"/>
      <c r="Q400" s="2"/>
      <c r="R400" s="3"/>
      <c r="S400" s="3"/>
      <c r="T400" s="2"/>
      <c r="U400" s="8">
        <f t="shared" si="50"/>
        <v>0</v>
      </c>
      <c r="V400" s="8"/>
      <c r="W400" s="8"/>
      <c r="X400" s="8"/>
      <c r="Y400" s="8"/>
      <c r="Z400" s="8"/>
      <c r="AA400" s="8"/>
      <c r="AB400" s="8"/>
      <c r="AC400" s="8">
        <f t="shared" si="51"/>
        <v>0</v>
      </c>
      <c r="AD400" s="8"/>
      <c r="AE400" s="8"/>
      <c r="AF400" s="8"/>
      <c r="AG400" s="8"/>
      <c r="AH400" s="8"/>
      <c r="AI400" s="8"/>
      <c r="AJ400" s="8"/>
      <c r="AK400" s="8"/>
      <c r="AL400" s="8"/>
      <c r="AM400" s="8">
        <v>45563759</v>
      </c>
      <c r="AN400" s="8">
        <f t="shared" si="57"/>
        <v>45563759</v>
      </c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>
        <f t="shared" si="52"/>
        <v>45563759</v>
      </c>
      <c r="BD400" s="4"/>
      <c r="BE400" s="4">
        <f t="shared" si="53"/>
        <v>45563759</v>
      </c>
      <c r="BF400" s="30">
        <f t="shared" si="54"/>
        <v>45563759</v>
      </c>
      <c r="BG400" s="18">
        <f t="shared" si="55"/>
        <v>0</v>
      </c>
      <c r="BH400" s="23"/>
      <c r="BI400" s="23"/>
      <c r="BJ400" s="23"/>
    </row>
    <row r="401" spans="1:66" ht="15" customHeight="1" x14ac:dyDescent="0.2">
      <c r="A401" s="1">
        <v>8000965954</v>
      </c>
      <c r="B401" s="1">
        <v>800096595</v>
      </c>
      <c r="C401" s="15">
        <v>219520295</v>
      </c>
      <c r="D401" s="16" t="s">
        <v>423</v>
      </c>
      <c r="E401" s="41" t="s">
        <v>1450</v>
      </c>
      <c r="F401" s="28"/>
      <c r="G401" s="2"/>
      <c r="H401" s="3"/>
      <c r="I401" s="2"/>
      <c r="J401" s="29"/>
      <c r="K401" s="3"/>
      <c r="L401" s="2"/>
      <c r="M401" s="8"/>
      <c r="N401" s="3"/>
      <c r="O401" s="2"/>
      <c r="P401" s="3"/>
      <c r="Q401" s="2"/>
      <c r="R401" s="3"/>
      <c r="S401" s="3"/>
      <c r="T401" s="2"/>
      <c r="U401" s="8">
        <f t="shared" si="50"/>
        <v>0</v>
      </c>
      <c r="V401" s="8"/>
      <c r="W401" s="8"/>
      <c r="X401" s="8"/>
      <c r="Y401" s="8"/>
      <c r="Z401" s="8"/>
      <c r="AA401" s="8"/>
      <c r="AB401" s="8"/>
      <c r="AC401" s="8">
        <f t="shared" si="51"/>
        <v>0</v>
      </c>
      <c r="AD401" s="8"/>
      <c r="AE401" s="8"/>
      <c r="AF401" s="8"/>
      <c r="AG401" s="8"/>
      <c r="AH401" s="8"/>
      <c r="AI401" s="8"/>
      <c r="AJ401" s="8"/>
      <c r="AK401" s="8"/>
      <c r="AL401" s="8"/>
      <c r="AM401" s="8">
        <v>166762464</v>
      </c>
      <c r="AN401" s="8">
        <f t="shared" si="57"/>
        <v>166762464</v>
      </c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>
        <v>100423565</v>
      </c>
      <c r="AZ401" s="8"/>
      <c r="BA401" s="8">
        <f>VLOOKUP(B401,[1]Hoja3!J$3:K$674,2,0)</f>
        <v>24088847</v>
      </c>
      <c r="BB401" s="8"/>
      <c r="BC401" s="8">
        <f t="shared" si="52"/>
        <v>291274876</v>
      </c>
      <c r="BD401" s="4">
        <v>100423565</v>
      </c>
      <c r="BE401" s="4">
        <f t="shared" si="53"/>
        <v>190851311</v>
      </c>
      <c r="BF401" s="30">
        <f t="shared" si="54"/>
        <v>291274876</v>
      </c>
      <c r="BG401" s="18">
        <f t="shared" si="55"/>
        <v>0</v>
      </c>
      <c r="BH401" s="23"/>
      <c r="BI401" s="23"/>
      <c r="BJ401" s="23"/>
    </row>
    <row r="402" spans="1:66" ht="15" customHeight="1" x14ac:dyDescent="0.2">
      <c r="A402" s="1">
        <v>8000996917</v>
      </c>
      <c r="B402" s="1">
        <v>800099691</v>
      </c>
      <c r="C402" s="15">
        <v>219868298</v>
      </c>
      <c r="D402" s="16" t="s">
        <v>841</v>
      </c>
      <c r="E402" s="41" t="s">
        <v>1857</v>
      </c>
      <c r="F402" s="28"/>
      <c r="G402" s="2"/>
      <c r="H402" s="3"/>
      <c r="I402" s="2"/>
      <c r="J402" s="29"/>
      <c r="K402" s="3"/>
      <c r="L402" s="2"/>
      <c r="M402" s="8"/>
      <c r="N402" s="3"/>
      <c r="O402" s="2"/>
      <c r="P402" s="3"/>
      <c r="Q402" s="2"/>
      <c r="R402" s="3"/>
      <c r="S402" s="3"/>
      <c r="T402" s="2"/>
      <c r="U402" s="8">
        <f t="shared" si="50"/>
        <v>0</v>
      </c>
      <c r="V402" s="8"/>
      <c r="W402" s="8"/>
      <c r="X402" s="8"/>
      <c r="Y402" s="8"/>
      <c r="Z402" s="8"/>
      <c r="AA402" s="8"/>
      <c r="AB402" s="8"/>
      <c r="AC402" s="8">
        <f t="shared" si="51"/>
        <v>0</v>
      </c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>
        <v>29622700</v>
      </c>
      <c r="AZ402" s="8"/>
      <c r="BA402" s="8">
        <f>VLOOKUP(B402,[1]Hoja3!J$3:K$674,2,0)</f>
        <v>60923755</v>
      </c>
      <c r="BB402" s="8"/>
      <c r="BC402" s="8">
        <f t="shared" si="52"/>
        <v>90546455</v>
      </c>
      <c r="BD402" s="4">
        <v>29622700</v>
      </c>
      <c r="BE402" s="4">
        <f t="shared" si="53"/>
        <v>60923755</v>
      </c>
      <c r="BF402" s="30">
        <f t="shared" si="54"/>
        <v>90546455</v>
      </c>
      <c r="BG402" s="18">
        <f t="shared" si="55"/>
        <v>0</v>
      </c>
      <c r="BH402" s="23"/>
      <c r="BI402" s="23"/>
      <c r="BJ402" s="23"/>
    </row>
    <row r="403" spans="1:66" ht="15" customHeight="1" x14ac:dyDescent="0.2">
      <c r="A403" s="1">
        <v>8918577641</v>
      </c>
      <c r="B403" s="1">
        <v>891857764</v>
      </c>
      <c r="C403" s="15">
        <v>219615296</v>
      </c>
      <c r="D403" s="16" t="s">
        <v>252</v>
      </c>
      <c r="E403" s="41" t="s">
        <v>1287</v>
      </c>
      <c r="F403" s="28"/>
      <c r="G403" s="17"/>
      <c r="H403" s="3"/>
      <c r="I403" s="2"/>
      <c r="J403" s="29"/>
      <c r="K403" s="3"/>
      <c r="L403" s="17"/>
      <c r="M403" s="34"/>
      <c r="N403" s="3"/>
      <c r="O403" s="17"/>
      <c r="P403" s="3"/>
      <c r="Q403" s="2"/>
      <c r="R403" s="3"/>
      <c r="S403" s="3"/>
      <c r="T403" s="17"/>
      <c r="U403" s="8">
        <f t="shared" si="50"/>
        <v>0</v>
      </c>
      <c r="V403" s="8"/>
      <c r="W403" s="8"/>
      <c r="X403" s="8"/>
      <c r="Y403" s="8"/>
      <c r="Z403" s="8"/>
      <c r="AA403" s="8"/>
      <c r="AB403" s="8"/>
      <c r="AC403" s="8">
        <f t="shared" si="51"/>
        <v>0</v>
      </c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>
        <v>37921875</v>
      </c>
      <c r="AZ403" s="8"/>
      <c r="BA403" s="8">
        <f>VLOOKUP(B403,[1]Hoja3!J$3:K$674,2,0)</f>
        <v>73692548</v>
      </c>
      <c r="BB403" s="8"/>
      <c r="BC403" s="8">
        <f t="shared" si="52"/>
        <v>111614423</v>
      </c>
      <c r="BD403" s="4">
        <v>37921875</v>
      </c>
      <c r="BE403" s="4">
        <f t="shared" si="53"/>
        <v>73692548</v>
      </c>
      <c r="BF403" s="30">
        <f t="shared" si="54"/>
        <v>111614423</v>
      </c>
      <c r="BG403" s="18">
        <f t="shared" si="55"/>
        <v>0</v>
      </c>
      <c r="BH403" s="23"/>
      <c r="BI403" s="14"/>
      <c r="BJ403" s="14"/>
      <c r="BK403" s="14"/>
      <c r="BL403" s="14"/>
      <c r="BM403" s="14"/>
      <c r="BN403" s="14"/>
    </row>
    <row r="404" spans="1:66" ht="15" customHeight="1" x14ac:dyDescent="0.2">
      <c r="A404" s="1">
        <v>8000256088</v>
      </c>
      <c r="B404" s="1">
        <v>800025608</v>
      </c>
      <c r="C404" s="15">
        <v>219915299</v>
      </c>
      <c r="D404" s="16" t="s">
        <v>253</v>
      </c>
      <c r="E404" s="41" t="s">
        <v>1288</v>
      </c>
      <c r="F404" s="28"/>
      <c r="G404" s="17"/>
      <c r="H404" s="3"/>
      <c r="I404" s="2"/>
      <c r="J404" s="29"/>
      <c r="K404" s="3"/>
      <c r="L404" s="17"/>
      <c r="M404" s="34"/>
      <c r="N404" s="3"/>
      <c r="O404" s="17"/>
      <c r="P404" s="3"/>
      <c r="Q404" s="2"/>
      <c r="R404" s="3"/>
      <c r="S404" s="3"/>
      <c r="T404" s="17"/>
      <c r="U404" s="8">
        <f t="shared" si="50"/>
        <v>0</v>
      </c>
      <c r="V404" s="8"/>
      <c r="W404" s="8"/>
      <c r="X404" s="8"/>
      <c r="Y404" s="8"/>
      <c r="Z404" s="8"/>
      <c r="AA404" s="8"/>
      <c r="AB404" s="8"/>
      <c r="AC404" s="8">
        <f t="shared" si="51"/>
        <v>0</v>
      </c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>
        <v>109650475</v>
      </c>
      <c r="AZ404" s="8"/>
      <c r="BA404" s="8">
        <f>VLOOKUP(B404,[1]Hoja3!J$3:K$674,2,0)</f>
        <v>196434484</v>
      </c>
      <c r="BB404" s="8"/>
      <c r="BC404" s="8">
        <f t="shared" si="52"/>
        <v>306084959</v>
      </c>
      <c r="BD404" s="4">
        <v>109650475</v>
      </c>
      <c r="BE404" s="4">
        <f t="shared" si="53"/>
        <v>196434484</v>
      </c>
      <c r="BF404" s="30">
        <f t="shared" si="54"/>
        <v>306084959</v>
      </c>
      <c r="BG404" s="18">
        <f t="shared" si="55"/>
        <v>0</v>
      </c>
      <c r="BH404" s="23"/>
      <c r="BI404" s="14"/>
      <c r="BJ404" s="14"/>
      <c r="BK404" s="14"/>
      <c r="BL404" s="14"/>
      <c r="BM404" s="14"/>
      <c r="BN404" s="14"/>
    </row>
    <row r="405" spans="1:66" ht="15" customHeight="1" x14ac:dyDescent="0.2">
      <c r="A405" s="1">
        <v>8911800226</v>
      </c>
      <c r="B405" s="1">
        <v>891180022</v>
      </c>
      <c r="C405" s="15">
        <v>219841298</v>
      </c>
      <c r="D405" s="16" t="s">
        <v>602</v>
      </c>
      <c r="E405" s="41" t="s">
        <v>1622</v>
      </c>
      <c r="F405" s="28"/>
      <c r="G405" s="2"/>
      <c r="H405" s="3"/>
      <c r="I405" s="2"/>
      <c r="J405" s="29"/>
      <c r="K405" s="3"/>
      <c r="L405" s="2"/>
      <c r="M405" s="8"/>
      <c r="N405" s="3"/>
      <c r="O405" s="2"/>
      <c r="P405" s="3"/>
      <c r="Q405" s="2"/>
      <c r="R405" s="3"/>
      <c r="S405" s="3"/>
      <c r="T405" s="2"/>
      <c r="U405" s="8">
        <f t="shared" si="50"/>
        <v>0</v>
      </c>
      <c r="V405" s="8"/>
      <c r="W405" s="8"/>
      <c r="X405" s="8"/>
      <c r="Y405" s="8"/>
      <c r="Z405" s="8"/>
      <c r="AA405" s="8"/>
      <c r="AB405" s="8"/>
      <c r="AC405" s="8">
        <f t="shared" si="51"/>
        <v>0</v>
      </c>
      <c r="AD405" s="8"/>
      <c r="AE405" s="8"/>
      <c r="AF405" s="8"/>
      <c r="AG405" s="8"/>
      <c r="AH405" s="8"/>
      <c r="AI405" s="8"/>
      <c r="AJ405" s="8"/>
      <c r="AK405" s="8"/>
      <c r="AL405" s="8"/>
      <c r="AM405" s="8">
        <v>1090704401</v>
      </c>
      <c r="AN405" s="8">
        <f>SUBTOTAL(9,AC405:AM405)</f>
        <v>1090704401</v>
      </c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>
        <v>441820895</v>
      </c>
      <c r="AZ405" s="8"/>
      <c r="BA405" s="8"/>
      <c r="BB405" s="8"/>
      <c r="BC405" s="8">
        <f t="shared" si="52"/>
        <v>1532525296</v>
      </c>
      <c r="BD405" s="4">
        <v>441820895</v>
      </c>
      <c r="BE405" s="4">
        <f t="shared" si="53"/>
        <v>1090704401</v>
      </c>
      <c r="BF405" s="30">
        <f t="shared" si="54"/>
        <v>1532525296</v>
      </c>
      <c r="BG405" s="18">
        <f t="shared" si="55"/>
        <v>0</v>
      </c>
      <c r="BH405" s="23"/>
      <c r="BI405" s="23"/>
      <c r="BJ405" s="23"/>
    </row>
    <row r="406" spans="1:66" ht="15" customHeight="1" x14ac:dyDescent="0.2">
      <c r="A406" s="1">
        <v>8900008646</v>
      </c>
      <c r="B406" s="1">
        <v>890000864</v>
      </c>
      <c r="C406" s="15">
        <v>210263302</v>
      </c>
      <c r="D406" s="16" t="s">
        <v>794</v>
      </c>
      <c r="E406" s="41" t="s">
        <v>1812</v>
      </c>
      <c r="F406" s="28"/>
      <c r="G406" s="2"/>
      <c r="H406" s="3"/>
      <c r="I406" s="2"/>
      <c r="J406" s="29"/>
      <c r="K406" s="3"/>
      <c r="L406" s="2"/>
      <c r="M406" s="8"/>
      <c r="N406" s="3"/>
      <c r="O406" s="2"/>
      <c r="P406" s="3"/>
      <c r="Q406" s="2"/>
      <c r="R406" s="3"/>
      <c r="S406" s="3"/>
      <c r="T406" s="2"/>
      <c r="U406" s="8">
        <f t="shared" si="50"/>
        <v>0</v>
      </c>
      <c r="V406" s="8"/>
      <c r="W406" s="8"/>
      <c r="X406" s="8"/>
      <c r="Y406" s="8"/>
      <c r="Z406" s="8"/>
      <c r="AA406" s="8"/>
      <c r="AB406" s="8"/>
      <c r="AC406" s="8">
        <f t="shared" si="51"/>
        <v>0</v>
      </c>
      <c r="AD406" s="8"/>
      <c r="AE406" s="8"/>
      <c r="AF406" s="8"/>
      <c r="AG406" s="8"/>
      <c r="AH406" s="8"/>
      <c r="AI406" s="8"/>
      <c r="AJ406" s="8"/>
      <c r="AK406" s="8"/>
      <c r="AL406" s="8"/>
      <c r="AM406" s="8">
        <v>115960118</v>
      </c>
      <c r="AN406" s="8">
        <f>SUBTOTAL(9,AC406:AM406)</f>
        <v>115960118</v>
      </c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>
        <v>58502940</v>
      </c>
      <c r="AZ406" s="8"/>
      <c r="BA406" s="8"/>
      <c r="BB406" s="8"/>
      <c r="BC406" s="8">
        <f t="shared" si="52"/>
        <v>174463058</v>
      </c>
      <c r="BD406" s="4">
        <v>58502940</v>
      </c>
      <c r="BE406" s="4">
        <f t="shared" si="53"/>
        <v>115960118</v>
      </c>
      <c r="BF406" s="30">
        <f t="shared" si="54"/>
        <v>174463058</v>
      </c>
      <c r="BG406" s="18">
        <f t="shared" si="55"/>
        <v>0</v>
      </c>
      <c r="BH406" s="23"/>
      <c r="BI406" s="23"/>
      <c r="BJ406" s="23"/>
    </row>
    <row r="407" spans="1:66" ht="15" customHeight="1" x14ac:dyDescent="0.2">
      <c r="A407" s="1">
        <v>8911801761</v>
      </c>
      <c r="B407" s="1">
        <v>891180176</v>
      </c>
      <c r="C407" s="15">
        <v>210641306</v>
      </c>
      <c r="D407" s="16" t="s">
        <v>603</v>
      </c>
      <c r="E407" s="41" t="s">
        <v>1623</v>
      </c>
      <c r="F407" s="28"/>
      <c r="G407" s="2"/>
      <c r="H407" s="3"/>
      <c r="I407" s="2"/>
      <c r="J407" s="29"/>
      <c r="K407" s="3"/>
      <c r="L407" s="2"/>
      <c r="M407" s="8"/>
      <c r="N407" s="3"/>
      <c r="O407" s="2"/>
      <c r="P407" s="3"/>
      <c r="Q407" s="2"/>
      <c r="R407" s="3"/>
      <c r="S407" s="3"/>
      <c r="T407" s="2"/>
      <c r="U407" s="8">
        <f t="shared" si="50"/>
        <v>0</v>
      </c>
      <c r="V407" s="8"/>
      <c r="W407" s="8"/>
      <c r="X407" s="8"/>
      <c r="Y407" s="8"/>
      <c r="Z407" s="8"/>
      <c r="AA407" s="8"/>
      <c r="AB407" s="8"/>
      <c r="AC407" s="8">
        <f t="shared" si="51"/>
        <v>0</v>
      </c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>
        <v>199119255</v>
      </c>
      <c r="AZ407" s="8"/>
      <c r="BA407" s="8">
        <f>VLOOKUP(B407,[1]Hoja3!J$3:K$674,2,0)</f>
        <v>428424160</v>
      </c>
      <c r="BB407" s="8"/>
      <c r="BC407" s="8">
        <f t="shared" si="52"/>
        <v>627543415</v>
      </c>
      <c r="BD407" s="4">
        <v>199119255</v>
      </c>
      <c r="BE407" s="4">
        <f t="shared" si="53"/>
        <v>428424160</v>
      </c>
      <c r="BF407" s="30">
        <f t="shared" si="54"/>
        <v>627543415</v>
      </c>
      <c r="BG407" s="18">
        <f t="shared" si="55"/>
        <v>0</v>
      </c>
      <c r="BH407" s="23"/>
      <c r="BI407" s="23"/>
      <c r="BJ407" s="23"/>
    </row>
    <row r="408" spans="1:66" ht="15" customHeight="1" x14ac:dyDescent="0.2">
      <c r="A408" s="1">
        <v>8001005201</v>
      </c>
      <c r="B408" s="1">
        <v>800100520</v>
      </c>
      <c r="C408" s="15">
        <v>210676306</v>
      </c>
      <c r="D408" s="16" t="s">
        <v>927</v>
      </c>
      <c r="E408" s="41" t="s">
        <v>1988</v>
      </c>
      <c r="F408" s="28"/>
      <c r="G408" s="2"/>
      <c r="H408" s="3"/>
      <c r="I408" s="2"/>
      <c r="J408" s="29"/>
      <c r="K408" s="3"/>
      <c r="L408" s="2"/>
      <c r="M408" s="8"/>
      <c r="N408" s="3"/>
      <c r="O408" s="2"/>
      <c r="P408" s="3"/>
      <c r="Q408" s="2"/>
      <c r="R408" s="3"/>
      <c r="S408" s="3"/>
      <c r="T408" s="2"/>
      <c r="U408" s="8">
        <f t="shared" si="50"/>
        <v>0</v>
      </c>
      <c r="V408" s="8"/>
      <c r="W408" s="8"/>
      <c r="X408" s="8"/>
      <c r="Y408" s="8"/>
      <c r="Z408" s="8"/>
      <c r="AA408" s="8"/>
      <c r="AB408" s="8"/>
      <c r="AC408" s="8">
        <f t="shared" si="51"/>
        <v>0</v>
      </c>
      <c r="AD408" s="8"/>
      <c r="AE408" s="8"/>
      <c r="AF408" s="8"/>
      <c r="AG408" s="8"/>
      <c r="AH408" s="8"/>
      <c r="AI408" s="8"/>
      <c r="AJ408" s="8"/>
      <c r="AK408" s="8"/>
      <c r="AL408" s="8"/>
      <c r="AM408" s="8">
        <v>277360538</v>
      </c>
      <c r="AN408" s="8">
        <f>SUBTOTAL(9,AC408:AM408)</f>
        <v>277360538</v>
      </c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>
        <v>109112215</v>
      </c>
      <c r="AZ408" s="8"/>
      <c r="BA408" s="8"/>
      <c r="BB408" s="8"/>
      <c r="BC408" s="8">
        <f t="shared" si="52"/>
        <v>386472753</v>
      </c>
      <c r="BD408" s="4">
        <v>109112215</v>
      </c>
      <c r="BE408" s="4">
        <f t="shared" si="53"/>
        <v>277360538</v>
      </c>
      <c r="BF408" s="30">
        <f t="shared" si="54"/>
        <v>386472753</v>
      </c>
      <c r="BG408" s="18">
        <f t="shared" si="55"/>
        <v>0</v>
      </c>
      <c r="BH408" s="23"/>
      <c r="BI408" s="23"/>
      <c r="BJ408" s="23"/>
    </row>
    <row r="409" spans="1:66" ht="15" customHeight="1" x14ac:dyDescent="0.2">
      <c r="A409" s="1">
        <v>8909837867</v>
      </c>
      <c r="B409" s="1">
        <v>890983786</v>
      </c>
      <c r="C409" s="15">
        <v>210605306</v>
      </c>
      <c r="D409" s="16" t="s">
        <v>89</v>
      </c>
      <c r="E409" s="41" t="s">
        <v>1120</v>
      </c>
      <c r="F409" s="28"/>
      <c r="G409" s="2"/>
      <c r="H409" s="3"/>
      <c r="I409" s="2"/>
      <c r="J409" s="29"/>
      <c r="K409" s="3"/>
      <c r="L409" s="2"/>
      <c r="M409" s="8"/>
      <c r="N409" s="3"/>
      <c r="O409" s="2"/>
      <c r="P409" s="3"/>
      <c r="Q409" s="2"/>
      <c r="R409" s="3"/>
      <c r="S409" s="3"/>
      <c r="T409" s="2"/>
      <c r="U409" s="8">
        <f t="shared" si="50"/>
        <v>0</v>
      </c>
      <c r="V409" s="8"/>
      <c r="W409" s="8"/>
      <c r="X409" s="8"/>
      <c r="Y409" s="8"/>
      <c r="Z409" s="8"/>
      <c r="AA409" s="8"/>
      <c r="AB409" s="8"/>
      <c r="AC409" s="8">
        <f t="shared" si="51"/>
        <v>0</v>
      </c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>
        <v>41537650</v>
      </c>
      <c r="AZ409" s="8"/>
      <c r="BA409" s="8">
        <f>VLOOKUP(B409,[1]Hoja3!J$3:K$674,2,0)</f>
        <v>90787692</v>
      </c>
      <c r="BB409" s="8"/>
      <c r="BC409" s="8">
        <f t="shared" si="52"/>
        <v>132325342</v>
      </c>
      <c r="BD409" s="4">
        <v>41537650</v>
      </c>
      <c r="BE409" s="4">
        <f t="shared" si="53"/>
        <v>90787692</v>
      </c>
      <c r="BF409" s="30">
        <f t="shared" si="54"/>
        <v>132325342</v>
      </c>
      <c r="BG409" s="18">
        <f t="shared" si="55"/>
        <v>0</v>
      </c>
      <c r="BH409" s="23"/>
      <c r="BI409" s="23"/>
      <c r="BJ409" s="23"/>
    </row>
    <row r="410" spans="1:66" ht="15" customHeight="1" x14ac:dyDescent="0.2">
      <c r="A410" s="1">
        <v>8906803784</v>
      </c>
      <c r="B410" s="1">
        <v>890680378</v>
      </c>
      <c r="C410" s="15">
        <v>210725307</v>
      </c>
      <c r="D410" s="16" t="s">
        <v>2168</v>
      </c>
      <c r="E410" s="53" t="s">
        <v>1044</v>
      </c>
      <c r="F410" s="28"/>
      <c r="G410" s="2"/>
      <c r="H410" s="3"/>
      <c r="I410" s="39">
        <f>1976316623+66560956</f>
        <v>2042877579</v>
      </c>
      <c r="J410" s="29">
        <v>124578880</v>
      </c>
      <c r="K410" s="3">
        <v>246909640</v>
      </c>
      <c r="L410" s="2"/>
      <c r="M410" s="37">
        <f>SUM(F410:L410)</f>
        <v>2414366099</v>
      </c>
      <c r="N410" s="3"/>
      <c r="O410" s="2"/>
      <c r="P410" s="3"/>
      <c r="Q410" s="2">
        <f>1883410129+30254980</f>
        <v>1913665109</v>
      </c>
      <c r="R410" s="3">
        <v>124578880</v>
      </c>
      <c r="S410" s="3">
        <f>122330760+124578880</f>
        <v>246909640</v>
      </c>
      <c r="T410" s="2"/>
      <c r="U410" s="8">
        <f t="shared" si="50"/>
        <v>4699519728</v>
      </c>
      <c r="V410" s="8"/>
      <c r="W410" s="8"/>
      <c r="X410" s="8"/>
      <c r="Y410" s="8">
        <v>2360832668</v>
      </c>
      <c r="Z410" s="8">
        <v>130070016</v>
      </c>
      <c r="AA410" s="8">
        <v>299259950</v>
      </c>
      <c r="AB410" s="8"/>
      <c r="AC410" s="8">
        <f t="shared" si="51"/>
        <v>7489682362</v>
      </c>
      <c r="AD410" s="8"/>
      <c r="AE410" s="8"/>
      <c r="AF410" s="8"/>
      <c r="AG410" s="8"/>
      <c r="AH410" s="8">
        <v>1928149607</v>
      </c>
      <c r="AI410" s="8">
        <v>308000538</v>
      </c>
      <c r="AJ410" s="8">
        <v>129626180</v>
      </c>
      <c r="AK410" s="8">
        <v>326716500</v>
      </c>
      <c r="AL410" s="8"/>
      <c r="AM410" s="8">
        <v>867774701</v>
      </c>
      <c r="AN410" s="8">
        <f>SUBTOTAL(9,AC410:AM410)</f>
        <v>11049949888</v>
      </c>
      <c r="AO410" s="8"/>
      <c r="AP410" s="8"/>
      <c r="AQ410" s="8">
        <v>312037055</v>
      </c>
      <c r="AR410" s="8"/>
      <c r="AS410" s="8"/>
      <c r="AT410" s="8">
        <v>1928149607</v>
      </c>
      <c r="AU410" s="8"/>
      <c r="AV410" s="8">
        <v>129626180</v>
      </c>
      <c r="AW410" s="8">
        <v>221330964</v>
      </c>
      <c r="AX410" s="8"/>
      <c r="AY410" s="8"/>
      <c r="AZ410" s="8"/>
      <c r="BA410" s="8"/>
      <c r="BB410" s="8"/>
      <c r="BC410" s="8">
        <f t="shared" si="52"/>
        <v>13641093694</v>
      </c>
      <c r="BD410" s="4">
        <v>12773318993</v>
      </c>
      <c r="BE410" s="4">
        <f t="shared" si="53"/>
        <v>867774701</v>
      </c>
      <c r="BF410" s="30">
        <f t="shared" si="54"/>
        <v>13641093694</v>
      </c>
      <c r="BG410" s="18">
        <f t="shared" si="55"/>
        <v>0</v>
      </c>
      <c r="BH410" s="23"/>
      <c r="BI410" s="23"/>
      <c r="BJ410" s="23"/>
    </row>
    <row r="411" spans="1:66" ht="15" customHeight="1" x14ac:dyDescent="0.2">
      <c r="A411" s="1">
        <v>8909808071</v>
      </c>
      <c r="B411" s="1">
        <v>890980807</v>
      </c>
      <c r="C411" s="15">
        <v>210805308</v>
      </c>
      <c r="D411" s="16" t="s">
        <v>90</v>
      </c>
      <c r="E411" s="41" t="s">
        <v>1121</v>
      </c>
      <c r="F411" s="28"/>
      <c r="G411" s="2"/>
      <c r="H411" s="3"/>
      <c r="I411" s="2"/>
      <c r="J411" s="29"/>
      <c r="K411" s="3"/>
      <c r="L411" s="2"/>
      <c r="M411" s="8"/>
      <c r="N411" s="3"/>
      <c r="O411" s="2"/>
      <c r="P411" s="3"/>
      <c r="Q411" s="2"/>
      <c r="R411" s="3"/>
      <c r="S411" s="3"/>
      <c r="T411" s="2"/>
      <c r="U411" s="8">
        <f t="shared" si="50"/>
        <v>0</v>
      </c>
      <c r="V411" s="8"/>
      <c r="W411" s="8"/>
      <c r="X411" s="8"/>
      <c r="Y411" s="8"/>
      <c r="Z411" s="8"/>
      <c r="AA411" s="8"/>
      <c r="AB411" s="8"/>
      <c r="AC411" s="8">
        <f t="shared" si="51"/>
        <v>0</v>
      </c>
      <c r="AD411" s="8"/>
      <c r="AE411" s="8"/>
      <c r="AF411" s="8"/>
      <c r="AG411" s="8"/>
      <c r="AH411" s="8"/>
      <c r="AI411" s="8"/>
      <c r="AJ411" s="8"/>
      <c r="AK411" s="8"/>
      <c r="AL411" s="8"/>
      <c r="AM411" s="8">
        <v>381578896</v>
      </c>
      <c r="AN411" s="8">
        <f>SUBTOTAL(9,AC411:AM411)</f>
        <v>381578896</v>
      </c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>
        <v>193001915</v>
      </c>
      <c r="AZ411" s="8"/>
      <c r="BA411" s="8">
        <f>VLOOKUP(B411,[1]Hoja3!J$3:K$674,2,0)</f>
        <v>78969478</v>
      </c>
      <c r="BB411" s="8"/>
      <c r="BC411" s="8">
        <f t="shared" si="52"/>
        <v>653550289</v>
      </c>
      <c r="BD411" s="4">
        <v>193001915</v>
      </c>
      <c r="BE411" s="4">
        <f t="shared" si="53"/>
        <v>460548374</v>
      </c>
      <c r="BF411" s="30">
        <f t="shared" si="54"/>
        <v>653550289</v>
      </c>
      <c r="BG411" s="18">
        <f t="shared" si="55"/>
        <v>0</v>
      </c>
      <c r="BH411" s="23"/>
      <c r="BI411" s="23"/>
      <c r="BJ411" s="23"/>
    </row>
    <row r="412" spans="1:66" ht="15" customHeight="1" x14ac:dyDescent="0.2">
      <c r="A412" s="1">
        <v>8902048026</v>
      </c>
      <c r="B412" s="1">
        <v>890204802</v>
      </c>
      <c r="C412" s="15">
        <v>210768307</v>
      </c>
      <c r="D412" s="16" t="s">
        <v>2169</v>
      </c>
      <c r="E412" s="53" t="s">
        <v>1037</v>
      </c>
      <c r="F412" s="28"/>
      <c r="G412" s="2"/>
      <c r="H412" s="3"/>
      <c r="I412" s="39">
        <f>3240371069+69084331</f>
        <v>3309455400</v>
      </c>
      <c r="J412" s="29">
        <v>224733427</v>
      </c>
      <c r="K412" s="3">
        <v>450914432</v>
      </c>
      <c r="L412" s="2"/>
      <c r="M412" s="37">
        <f>SUM(F412:L412)</f>
        <v>3985103259</v>
      </c>
      <c r="N412" s="3"/>
      <c r="O412" s="2"/>
      <c r="P412" s="3"/>
      <c r="Q412" s="2">
        <f>3132289258+31401968</f>
        <v>3163691226</v>
      </c>
      <c r="R412" s="3">
        <v>225099759</v>
      </c>
      <c r="S412" s="3">
        <f>226181005+225099759</f>
        <v>451280764</v>
      </c>
      <c r="T412" s="2"/>
      <c r="U412" s="8">
        <f t="shared" si="50"/>
        <v>7825175008</v>
      </c>
      <c r="V412" s="8"/>
      <c r="W412" s="8"/>
      <c r="X412" s="8"/>
      <c r="Y412" s="8">
        <v>4496419367</v>
      </c>
      <c r="Z412" s="8">
        <v>222420712</v>
      </c>
      <c r="AA412" s="8">
        <v>511130481</v>
      </c>
      <c r="AB412" s="8"/>
      <c r="AC412" s="8">
        <f t="shared" si="51"/>
        <v>13055145568</v>
      </c>
      <c r="AD412" s="8"/>
      <c r="AE412" s="8"/>
      <c r="AF412" s="8"/>
      <c r="AG412" s="8"/>
      <c r="AH412" s="8">
        <v>3182215294</v>
      </c>
      <c r="AI412" s="8">
        <v>391263781</v>
      </c>
      <c r="AJ412" s="8">
        <v>232907268</v>
      </c>
      <c r="AK412" s="8">
        <v>587251864</v>
      </c>
      <c r="AL412" s="8"/>
      <c r="AM412" s="8">
        <v>1479995436</v>
      </c>
      <c r="AN412" s="8">
        <f>SUBTOTAL(9,AC412:AM412)</f>
        <v>18928779211</v>
      </c>
      <c r="AO412" s="8"/>
      <c r="AP412" s="8"/>
      <c r="AQ412" s="8">
        <v>486592645</v>
      </c>
      <c r="AR412" s="8"/>
      <c r="AS412" s="8"/>
      <c r="AT412" s="8">
        <v>3182215294</v>
      </c>
      <c r="AU412" s="8"/>
      <c r="AV412" s="8">
        <v>232907268</v>
      </c>
      <c r="AW412" s="8">
        <v>397899442</v>
      </c>
      <c r="AX412" s="8"/>
      <c r="AY412" s="8"/>
      <c r="AZ412" s="8">
        <v>257612641</v>
      </c>
      <c r="BA412" s="8">
        <f>VLOOKUP(B412,[1]Hoja3!J$3:K$674,2,0)</f>
        <v>151364732</v>
      </c>
      <c r="BB412" s="8"/>
      <c r="BC412" s="8">
        <f t="shared" si="52"/>
        <v>23637371233</v>
      </c>
      <c r="BD412" s="4">
        <v>22006011065</v>
      </c>
      <c r="BE412" s="4">
        <f t="shared" si="53"/>
        <v>1631360168</v>
      </c>
      <c r="BF412" s="30">
        <f t="shared" si="54"/>
        <v>23637371233</v>
      </c>
      <c r="BG412" s="18">
        <f t="shared" si="55"/>
        <v>0</v>
      </c>
      <c r="BH412" s="23"/>
      <c r="BI412" s="23"/>
      <c r="BJ412" s="23"/>
    </row>
    <row r="413" spans="1:66" ht="15" customHeight="1" x14ac:dyDescent="0.2">
      <c r="A413" s="1">
        <v>8909839381</v>
      </c>
      <c r="B413" s="1">
        <v>890983938</v>
      </c>
      <c r="C413" s="15">
        <v>211005310</v>
      </c>
      <c r="D413" s="16" t="s">
        <v>91</v>
      </c>
      <c r="E413" s="41" t="s">
        <v>1122</v>
      </c>
      <c r="F413" s="28"/>
      <c r="G413" s="2"/>
      <c r="H413" s="3"/>
      <c r="I413" s="2"/>
      <c r="J413" s="29"/>
      <c r="K413" s="3"/>
      <c r="L413" s="2"/>
      <c r="M413" s="8"/>
      <c r="N413" s="3"/>
      <c r="O413" s="2"/>
      <c r="P413" s="3"/>
      <c r="Q413" s="2"/>
      <c r="R413" s="3"/>
      <c r="S413" s="3"/>
      <c r="T413" s="2"/>
      <c r="U413" s="8">
        <f t="shared" si="50"/>
        <v>0</v>
      </c>
      <c r="V413" s="8"/>
      <c r="W413" s="8"/>
      <c r="X413" s="8"/>
      <c r="Y413" s="8"/>
      <c r="Z413" s="8"/>
      <c r="AA413" s="8"/>
      <c r="AB413" s="8"/>
      <c r="AC413" s="8">
        <f t="shared" si="51"/>
        <v>0</v>
      </c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>
        <v>64351040</v>
      </c>
      <c r="AZ413" s="8"/>
      <c r="BA413" s="8">
        <f>VLOOKUP(B413,[1]Hoja3!J$3:K$674,2,0)</f>
        <v>113489369</v>
      </c>
      <c r="BB413" s="8"/>
      <c r="BC413" s="8">
        <f t="shared" si="52"/>
        <v>177840409</v>
      </c>
      <c r="BD413" s="4">
        <v>64351040</v>
      </c>
      <c r="BE413" s="4">
        <f t="shared" si="53"/>
        <v>113489369</v>
      </c>
      <c r="BF413" s="30">
        <f t="shared" si="54"/>
        <v>177840409</v>
      </c>
      <c r="BG413" s="18">
        <f t="shared" si="55"/>
        <v>0</v>
      </c>
      <c r="BH413" s="23"/>
      <c r="BI413" s="23"/>
      <c r="BJ413" s="23"/>
    </row>
    <row r="414" spans="1:66" ht="15" customHeight="1" x14ac:dyDescent="0.2">
      <c r="A414" s="1">
        <v>8000965979</v>
      </c>
      <c r="B414" s="1">
        <v>800096597</v>
      </c>
      <c r="C414" s="15">
        <v>211020310</v>
      </c>
      <c r="D414" s="16" t="s">
        <v>424</v>
      </c>
      <c r="E414" s="41" t="s">
        <v>1451</v>
      </c>
      <c r="F414" s="28"/>
      <c r="G414" s="2"/>
      <c r="H414" s="3"/>
      <c r="I414" s="2"/>
      <c r="J414" s="29"/>
      <c r="K414" s="3"/>
      <c r="L414" s="2"/>
      <c r="M414" s="8"/>
      <c r="N414" s="3"/>
      <c r="O414" s="2"/>
      <c r="P414" s="3"/>
      <c r="Q414" s="2"/>
      <c r="R414" s="3"/>
      <c r="S414" s="3"/>
      <c r="T414" s="2"/>
      <c r="U414" s="8">
        <f t="shared" si="50"/>
        <v>0</v>
      </c>
      <c r="V414" s="8"/>
      <c r="W414" s="8"/>
      <c r="X414" s="8"/>
      <c r="Y414" s="8"/>
      <c r="Z414" s="8"/>
      <c r="AA414" s="8"/>
      <c r="AB414" s="8"/>
      <c r="AC414" s="8">
        <f t="shared" si="51"/>
        <v>0</v>
      </c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>
        <v>46531565</v>
      </c>
      <c r="AZ414" s="8"/>
      <c r="BA414" s="8">
        <f>VLOOKUP(B414,[1]Hoja3!J$3:K$674,2,0)</f>
        <v>71416402</v>
      </c>
      <c r="BB414" s="8"/>
      <c r="BC414" s="8">
        <f t="shared" si="52"/>
        <v>117947967</v>
      </c>
      <c r="BD414" s="4">
        <v>46531565</v>
      </c>
      <c r="BE414" s="4">
        <f t="shared" si="53"/>
        <v>71416402</v>
      </c>
      <c r="BF414" s="30">
        <f t="shared" si="54"/>
        <v>117947967</v>
      </c>
      <c r="BG414" s="18">
        <f t="shared" si="55"/>
        <v>0</v>
      </c>
      <c r="BH414" s="23"/>
      <c r="BI414" s="23"/>
      <c r="BJ414" s="23"/>
    </row>
    <row r="415" spans="1:66" ht="15" customHeight="1" x14ac:dyDescent="0.2">
      <c r="A415" s="1">
        <v>8905014041</v>
      </c>
      <c r="B415" s="1">
        <v>890501404</v>
      </c>
      <c r="C415" s="15">
        <v>211354313</v>
      </c>
      <c r="D415" s="16" t="s">
        <v>765</v>
      </c>
      <c r="E415" s="41" t="s">
        <v>1784</v>
      </c>
      <c r="F415" s="28"/>
      <c r="G415" s="2"/>
      <c r="H415" s="3"/>
      <c r="I415" s="2"/>
      <c r="J415" s="29"/>
      <c r="K415" s="3"/>
      <c r="L415" s="2"/>
      <c r="M415" s="8"/>
      <c r="N415" s="3"/>
      <c r="O415" s="2"/>
      <c r="P415" s="3"/>
      <c r="Q415" s="2"/>
      <c r="R415" s="3"/>
      <c r="S415" s="3"/>
      <c r="T415" s="2"/>
      <c r="U415" s="8">
        <f t="shared" si="50"/>
        <v>0</v>
      </c>
      <c r="V415" s="8"/>
      <c r="W415" s="8"/>
      <c r="X415" s="8"/>
      <c r="Y415" s="8"/>
      <c r="Z415" s="8"/>
      <c r="AA415" s="8"/>
      <c r="AB415" s="8"/>
      <c r="AC415" s="8">
        <f t="shared" si="51"/>
        <v>0</v>
      </c>
      <c r="AD415" s="8"/>
      <c r="AE415" s="8"/>
      <c r="AF415" s="8"/>
      <c r="AG415" s="8"/>
      <c r="AH415" s="8"/>
      <c r="AI415" s="8"/>
      <c r="AJ415" s="8"/>
      <c r="AK415" s="8"/>
      <c r="AL415" s="8"/>
      <c r="AM415" s="8">
        <v>22371166</v>
      </c>
      <c r="AN415" s="8">
        <f>SUBTOTAL(9,AC415:AM415)</f>
        <v>22371166</v>
      </c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>
        <v>49433285</v>
      </c>
      <c r="AZ415" s="8"/>
      <c r="BA415" s="8">
        <f>VLOOKUP(B415,[1]Hoja3!J$3:K$674,2,0)</f>
        <v>68676914</v>
      </c>
      <c r="BB415" s="8"/>
      <c r="BC415" s="8">
        <f t="shared" si="52"/>
        <v>140481365</v>
      </c>
      <c r="BD415" s="4">
        <v>49433285</v>
      </c>
      <c r="BE415" s="4">
        <f t="shared" si="53"/>
        <v>91048080</v>
      </c>
      <c r="BF415" s="30">
        <f t="shared" si="54"/>
        <v>140481365</v>
      </c>
      <c r="BG415" s="18">
        <f t="shared" si="55"/>
        <v>0</v>
      </c>
      <c r="BH415" s="23"/>
      <c r="BI415" s="23"/>
      <c r="BJ415" s="23"/>
    </row>
    <row r="416" spans="1:66" ht="15" customHeight="1" x14ac:dyDescent="0.2">
      <c r="A416" s="1">
        <v>8909837281</v>
      </c>
      <c r="B416" s="1">
        <v>890983728</v>
      </c>
      <c r="C416" s="15">
        <v>211305313</v>
      </c>
      <c r="D416" s="16" t="s">
        <v>92</v>
      </c>
      <c r="E416" s="41" t="s">
        <v>1123</v>
      </c>
      <c r="F416" s="28"/>
      <c r="G416" s="2"/>
      <c r="H416" s="3"/>
      <c r="I416" s="2"/>
      <c r="J416" s="29"/>
      <c r="K416" s="3"/>
      <c r="L416" s="2"/>
      <c r="M416" s="8"/>
      <c r="N416" s="3"/>
      <c r="O416" s="2"/>
      <c r="P416" s="3"/>
      <c r="Q416" s="2"/>
      <c r="R416" s="3"/>
      <c r="S416" s="3"/>
      <c r="T416" s="2"/>
      <c r="U416" s="8">
        <f t="shared" si="50"/>
        <v>0</v>
      </c>
      <c r="V416" s="8"/>
      <c r="W416" s="8"/>
      <c r="X416" s="8"/>
      <c r="Y416" s="8"/>
      <c r="Z416" s="8"/>
      <c r="AA416" s="8"/>
      <c r="AB416" s="8"/>
      <c r="AC416" s="8">
        <f t="shared" si="51"/>
        <v>0</v>
      </c>
      <c r="AD416" s="8"/>
      <c r="AE416" s="8"/>
      <c r="AF416" s="8"/>
      <c r="AG416" s="8"/>
      <c r="AH416" s="8"/>
      <c r="AI416" s="8"/>
      <c r="AJ416" s="8"/>
      <c r="AK416" s="8"/>
      <c r="AL416" s="8"/>
      <c r="AM416" s="8">
        <v>138412057</v>
      </c>
      <c r="AN416" s="8">
        <f>SUBTOTAL(9,AC416:AM416)</f>
        <v>138412057</v>
      </c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>
        <v>61843335</v>
      </c>
      <c r="AZ416" s="8"/>
      <c r="BA416" s="8"/>
      <c r="BB416" s="8"/>
      <c r="BC416" s="8">
        <f t="shared" si="52"/>
        <v>200255392</v>
      </c>
      <c r="BD416" s="4">
        <v>61843335</v>
      </c>
      <c r="BE416" s="4">
        <f t="shared" si="53"/>
        <v>138412057</v>
      </c>
      <c r="BF416" s="30">
        <f t="shared" si="54"/>
        <v>200255392</v>
      </c>
      <c r="BG416" s="18">
        <f t="shared" si="55"/>
        <v>0</v>
      </c>
      <c r="BH416" s="23"/>
      <c r="BI416" s="23"/>
      <c r="BJ416" s="23"/>
    </row>
    <row r="417" spans="1:66" ht="15" customHeight="1" x14ac:dyDescent="0.2">
      <c r="A417" s="1">
        <v>8320009921</v>
      </c>
      <c r="B417" s="1">
        <v>832000992</v>
      </c>
      <c r="C417" s="15">
        <v>211225312</v>
      </c>
      <c r="D417" s="16" t="s">
        <v>493</v>
      </c>
      <c r="E417" s="41" t="s">
        <v>1520</v>
      </c>
      <c r="F417" s="28"/>
      <c r="G417" s="17"/>
      <c r="H417" s="3"/>
      <c r="I417" s="2"/>
      <c r="J417" s="29"/>
      <c r="K417" s="3"/>
      <c r="L417" s="17"/>
      <c r="M417" s="34"/>
      <c r="N417" s="3"/>
      <c r="O417" s="17"/>
      <c r="P417" s="3"/>
      <c r="Q417" s="2"/>
      <c r="R417" s="3"/>
      <c r="S417" s="3"/>
      <c r="T417" s="17"/>
      <c r="U417" s="8">
        <f t="shared" si="50"/>
        <v>0</v>
      </c>
      <c r="V417" s="8"/>
      <c r="W417" s="8"/>
      <c r="X417" s="8"/>
      <c r="Y417" s="8"/>
      <c r="Z417" s="8"/>
      <c r="AA417" s="8"/>
      <c r="AB417" s="8"/>
      <c r="AC417" s="8">
        <f t="shared" si="51"/>
        <v>0</v>
      </c>
      <c r="AD417" s="8"/>
      <c r="AE417" s="8"/>
      <c r="AF417" s="8"/>
      <c r="AG417" s="8"/>
      <c r="AH417" s="8"/>
      <c r="AI417" s="8"/>
      <c r="AJ417" s="8"/>
      <c r="AK417" s="8"/>
      <c r="AL417" s="8"/>
      <c r="AM417" s="8">
        <v>110012315</v>
      </c>
      <c r="AN417" s="8">
        <f>SUBTOTAL(9,AC417:AM417)</f>
        <v>110012315</v>
      </c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>
        <v>43525775</v>
      </c>
      <c r="AZ417" s="8"/>
      <c r="BA417" s="8"/>
      <c r="BB417" s="8"/>
      <c r="BC417" s="8">
        <f t="shared" si="52"/>
        <v>153538090</v>
      </c>
      <c r="BD417" s="4">
        <v>43525775</v>
      </c>
      <c r="BE417" s="4">
        <f t="shared" si="53"/>
        <v>110012315</v>
      </c>
      <c r="BF417" s="30">
        <f t="shared" si="54"/>
        <v>153538090</v>
      </c>
      <c r="BG417" s="18">
        <f t="shared" si="55"/>
        <v>0</v>
      </c>
      <c r="BH417" s="23"/>
      <c r="BI417" s="14"/>
      <c r="BJ417" s="14"/>
      <c r="BK417" s="14"/>
      <c r="BL417" s="14"/>
      <c r="BM417" s="14"/>
      <c r="BN417" s="14"/>
    </row>
    <row r="418" spans="1:66" ht="15" customHeight="1" x14ac:dyDescent="0.2">
      <c r="A418" s="1">
        <v>8920992435</v>
      </c>
      <c r="B418" s="1">
        <v>892099243</v>
      </c>
      <c r="C418" s="15">
        <v>211350313</v>
      </c>
      <c r="D418" s="16" t="s">
        <v>675</v>
      </c>
      <c r="E418" s="41" t="s">
        <v>1697</v>
      </c>
      <c r="F418" s="28"/>
      <c r="G418" s="17"/>
      <c r="H418" s="3"/>
      <c r="I418" s="2"/>
      <c r="J418" s="29"/>
      <c r="K418" s="3"/>
      <c r="L418" s="17"/>
      <c r="M418" s="34"/>
      <c r="N418" s="3"/>
      <c r="O418" s="17"/>
      <c r="P418" s="3"/>
      <c r="Q418" s="2"/>
      <c r="R418" s="3"/>
      <c r="S418" s="3"/>
      <c r="T418" s="17"/>
      <c r="U418" s="8">
        <f t="shared" si="50"/>
        <v>0</v>
      </c>
      <c r="V418" s="8"/>
      <c r="W418" s="8"/>
      <c r="X418" s="8"/>
      <c r="Y418" s="8"/>
      <c r="Z418" s="8"/>
      <c r="AA418" s="8"/>
      <c r="AB418" s="8"/>
      <c r="AC418" s="8">
        <f t="shared" si="51"/>
        <v>0</v>
      </c>
      <c r="AD418" s="8"/>
      <c r="AE418" s="8"/>
      <c r="AF418" s="8"/>
      <c r="AG418" s="8"/>
      <c r="AH418" s="8"/>
      <c r="AI418" s="8"/>
      <c r="AJ418" s="8"/>
      <c r="AK418" s="8"/>
      <c r="AL418" s="8"/>
      <c r="AM418" s="8">
        <v>829161595</v>
      </c>
      <c r="AN418" s="8">
        <f>SUBTOTAL(9,AC418:AM418)</f>
        <v>829161595</v>
      </c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>
        <v>426867025</v>
      </c>
      <c r="AZ418" s="8"/>
      <c r="BA418" s="8"/>
      <c r="BB418" s="8"/>
      <c r="BC418" s="8">
        <f t="shared" si="52"/>
        <v>1256028620</v>
      </c>
      <c r="BD418" s="4">
        <v>426867025</v>
      </c>
      <c r="BE418" s="4">
        <f t="shared" si="53"/>
        <v>829161595</v>
      </c>
      <c r="BF418" s="30">
        <f t="shared" si="54"/>
        <v>1256028620</v>
      </c>
      <c r="BG418" s="18">
        <f t="shared" si="55"/>
        <v>0</v>
      </c>
      <c r="BH418" s="23"/>
      <c r="BI418" s="14"/>
      <c r="BJ418" s="14"/>
      <c r="BK418" s="14"/>
      <c r="BL418" s="14"/>
      <c r="BM418" s="14"/>
      <c r="BN418" s="14"/>
    </row>
    <row r="419" spans="1:66" ht="15" customHeight="1" x14ac:dyDescent="0.2">
      <c r="A419" s="1">
        <v>8000126311</v>
      </c>
      <c r="B419" s="1">
        <v>800012631</v>
      </c>
      <c r="C419" s="15">
        <v>211715317</v>
      </c>
      <c r="D419" s="16" t="s">
        <v>254</v>
      </c>
      <c r="E419" s="41" t="s">
        <v>1289</v>
      </c>
      <c r="F419" s="28"/>
      <c r="G419" s="17"/>
      <c r="H419" s="3"/>
      <c r="I419" s="2"/>
      <c r="J419" s="29"/>
      <c r="K419" s="3"/>
      <c r="L419" s="17"/>
      <c r="M419" s="34"/>
      <c r="N419" s="3"/>
      <c r="O419" s="17"/>
      <c r="P419" s="3"/>
      <c r="Q419" s="2"/>
      <c r="R419" s="3"/>
      <c r="S419" s="3"/>
      <c r="T419" s="17"/>
      <c r="U419" s="8">
        <f t="shared" si="50"/>
        <v>0</v>
      </c>
      <c r="V419" s="8"/>
      <c r="W419" s="8"/>
      <c r="X419" s="8"/>
      <c r="Y419" s="8"/>
      <c r="Z419" s="8"/>
      <c r="AA419" s="8"/>
      <c r="AB419" s="8"/>
      <c r="AC419" s="8">
        <f t="shared" si="51"/>
        <v>0</v>
      </c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>
        <v>13376225</v>
      </c>
      <c r="AZ419" s="8"/>
      <c r="BA419" s="8">
        <f>VLOOKUP(B419,[1]Hoja3!J$3:K$674,2,0)</f>
        <v>21512401</v>
      </c>
      <c r="BB419" s="8"/>
      <c r="BC419" s="8">
        <f t="shared" si="52"/>
        <v>34888626</v>
      </c>
      <c r="BD419" s="4">
        <v>13376225</v>
      </c>
      <c r="BE419" s="4">
        <f t="shared" si="53"/>
        <v>21512401</v>
      </c>
      <c r="BF419" s="30">
        <f t="shared" si="54"/>
        <v>34888626</v>
      </c>
      <c r="BG419" s="18">
        <f t="shared" si="55"/>
        <v>0</v>
      </c>
      <c r="BH419" s="23"/>
      <c r="BI419" s="14"/>
      <c r="BJ419" s="14"/>
      <c r="BK419" s="14"/>
      <c r="BL419" s="14"/>
      <c r="BM419" s="14"/>
      <c r="BN419" s="14"/>
    </row>
    <row r="420" spans="1:66" ht="15" customHeight="1" x14ac:dyDescent="0.2">
      <c r="A420" s="1">
        <v>8902054391</v>
      </c>
      <c r="B420" s="1">
        <v>890205439</v>
      </c>
      <c r="C420" s="15">
        <v>214568245</v>
      </c>
      <c r="D420" s="16" t="s">
        <v>835</v>
      </c>
      <c r="E420" s="41" t="s">
        <v>1850</v>
      </c>
      <c r="F420" s="28"/>
      <c r="G420" s="2"/>
      <c r="H420" s="3"/>
      <c r="I420" s="2"/>
      <c r="J420" s="29"/>
      <c r="K420" s="3"/>
      <c r="L420" s="2"/>
      <c r="M420" s="8"/>
      <c r="N420" s="3"/>
      <c r="O420" s="2"/>
      <c r="P420" s="3"/>
      <c r="Q420" s="2"/>
      <c r="R420" s="3"/>
      <c r="S420" s="3"/>
      <c r="T420" s="2"/>
      <c r="U420" s="8">
        <f t="shared" si="50"/>
        <v>0</v>
      </c>
      <c r="V420" s="8"/>
      <c r="W420" s="8"/>
      <c r="X420" s="8"/>
      <c r="Y420" s="8"/>
      <c r="Z420" s="8"/>
      <c r="AA420" s="8"/>
      <c r="AB420" s="8"/>
      <c r="AC420" s="8">
        <f t="shared" si="51"/>
        <v>0</v>
      </c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>
        <v>14654080</v>
      </c>
      <c r="AZ420" s="8"/>
      <c r="BA420" s="8">
        <f>VLOOKUP(B420,[1]Hoja3!J$3:K$674,2,0)</f>
        <v>29339859</v>
      </c>
      <c r="BB420" s="8"/>
      <c r="BC420" s="8">
        <f t="shared" si="52"/>
        <v>43993939</v>
      </c>
      <c r="BD420" s="4">
        <v>14654080</v>
      </c>
      <c r="BE420" s="4">
        <f t="shared" si="53"/>
        <v>29339859</v>
      </c>
      <c r="BF420" s="30">
        <f t="shared" si="54"/>
        <v>43993939</v>
      </c>
      <c r="BG420" s="18">
        <f t="shared" si="55"/>
        <v>0</v>
      </c>
      <c r="BH420" s="23"/>
      <c r="BI420" s="23"/>
      <c r="BJ420" s="23"/>
    </row>
    <row r="421" spans="1:66" ht="15" customHeight="1" x14ac:dyDescent="0.2">
      <c r="A421" s="1">
        <v>8913800897</v>
      </c>
      <c r="B421" s="1">
        <v>891380089</v>
      </c>
      <c r="C421" s="15">
        <v>211876318</v>
      </c>
      <c r="D421" s="16" t="s">
        <v>928</v>
      </c>
      <c r="E421" s="41" t="s">
        <v>1989</v>
      </c>
      <c r="F421" s="28"/>
      <c r="G421" s="2"/>
      <c r="H421" s="3"/>
      <c r="I421" s="2"/>
      <c r="J421" s="29"/>
      <c r="K421" s="3"/>
      <c r="L421" s="2"/>
      <c r="M421" s="8"/>
      <c r="N421" s="3"/>
      <c r="O421" s="2"/>
      <c r="P421" s="3"/>
      <c r="Q421" s="2"/>
      <c r="R421" s="3"/>
      <c r="S421" s="3"/>
      <c r="T421" s="2"/>
      <c r="U421" s="8">
        <f t="shared" si="50"/>
        <v>0</v>
      </c>
      <c r="V421" s="8"/>
      <c r="W421" s="8"/>
      <c r="X421" s="8"/>
      <c r="Y421" s="8"/>
      <c r="Z421" s="8"/>
      <c r="AA421" s="8"/>
      <c r="AB421" s="8"/>
      <c r="AC421" s="8">
        <f t="shared" si="51"/>
        <v>0</v>
      </c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>
        <v>184944125</v>
      </c>
      <c r="AZ421" s="8"/>
      <c r="BA421" s="8">
        <f>VLOOKUP(B421,[1]Hoja3!J$3:K$674,2,0)</f>
        <v>383267128</v>
      </c>
      <c r="BB421" s="8"/>
      <c r="BC421" s="8">
        <f t="shared" si="52"/>
        <v>568211253</v>
      </c>
      <c r="BD421" s="4">
        <v>184944125</v>
      </c>
      <c r="BE421" s="4">
        <f t="shared" si="53"/>
        <v>383267128</v>
      </c>
      <c r="BF421" s="30">
        <f t="shared" si="54"/>
        <v>568211253</v>
      </c>
      <c r="BG421" s="18">
        <f t="shared" si="55"/>
        <v>0</v>
      </c>
      <c r="BH421" s="23"/>
      <c r="BI421" s="23"/>
      <c r="BJ421" s="23"/>
    </row>
    <row r="422" spans="1:66" ht="15" customHeight="1" x14ac:dyDescent="0.2">
      <c r="A422" s="1">
        <v>8902083600</v>
      </c>
      <c r="B422" s="1">
        <v>890208360</v>
      </c>
      <c r="C422" s="15">
        <v>211868318</v>
      </c>
      <c r="D422" s="16" t="s">
        <v>842</v>
      </c>
      <c r="E422" s="41" t="s">
        <v>1858</v>
      </c>
      <c r="F422" s="28"/>
      <c r="G422" s="2"/>
      <c r="H422" s="3"/>
      <c r="I422" s="2"/>
      <c r="J422" s="29"/>
      <c r="K422" s="3"/>
      <c r="L422" s="2"/>
      <c r="M422" s="8"/>
      <c r="N422" s="3"/>
      <c r="O422" s="2"/>
      <c r="P422" s="3"/>
      <c r="Q422" s="2"/>
      <c r="R422" s="3"/>
      <c r="S422" s="3"/>
      <c r="T422" s="2"/>
      <c r="U422" s="8">
        <f t="shared" si="50"/>
        <v>0</v>
      </c>
      <c r="V422" s="8"/>
      <c r="W422" s="8"/>
      <c r="X422" s="8"/>
      <c r="Y422" s="8"/>
      <c r="Z422" s="8"/>
      <c r="AA422" s="8"/>
      <c r="AB422" s="8"/>
      <c r="AC422" s="8">
        <f t="shared" si="51"/>
        <v>0</v>
      </c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>
        <v>39435060</v>
      </c>
      <c r="AZ422" s="8"/>
      <c r="BA422" s="8">
        <f>VLOOKUP(B422,[1]Hoja3!J$3:K$674,2,0)</f>
        <v>83651490</v>
      </c>
      <c r="BB422" s="8"/>
      <c r="BC422" s="8">
        <f t="shared" si="52"/>
        <v>123086550</v>
      </c>
      <c r="BD422" s="4">
        <v>39435060</v>
      </c>
      <c r="BE422" s="4">
        <f t="shared" si="53"/>
        <v>83651490</v>
      </c>
      <c r="BF422" s="30">
        <f t="shared" si="54"/>
        <v>123086550</v>
      </c>
      <c r="BG422" s="18">
        <f t="shared" si="55"/>
        <v>0</v>
      </c>
      <c r="BH422" s="23"/>
      <c r="BI422" s="23"/>
      <c r="BJ422" s="23"/>
    </row>
    <row r="423" spans="1:66" ht="15" customHeight="1" x14ac:dyDescent="0.2">
      <c r="A423" s="1">
        <v>9001271830</v>
      </c>
      <c r="B423" s="1">
        <v>900127183</v>
      </c>
      <c r="C423" s="15">
        <v>923270346</v>
      </c>
      <c r="D423" s="16" t="s">
        <v>384</v>
      </c>
      <c r="E423" s="41" t="s">
        <v>2072</v>
      </c>
      <c r="F423" s="28"/>
      <c r="G423" s="2"/>
      <c r="H423" s="3"/>
      <c r="I423" s="2"/>
      <c r="J423" s="29"/>
      <c r="K423" s="3"/>
      <c r="L423" s="2"/>
      <c r="M423" s="8"/>
      <c r="N423" s="3"/>
      <c r="O423" s="2"/>
      <c r="P423" s="3"/>
      <c r="Q423" s="2"/>
      <c r="R423" s="3"/>
      <c r="S423" s="3"/>
      <c r="T423" s="2"/>
      <c r="U423" s="8">
        <f t="shared" si="50"/>
        <v>0</v>
      </c>
      <c r="V423" s="8"/>
      <c r="W423" s="8"/>
      <c r="X423" s="8"/>
      <c r="Y423" s="8"/>
      <c r="Z423" s="8"/>
      <c r="AA423" s="8"/>
      <c r="AB423" s="8"/>
      <c r="AC423" s="8">
        <f t="shared" si="51"/>
        <v>0</v>
      </c>
      <c r="AD423" s="8"/>
      <c r="AE423" s="8"/>
      <c r="AF423" s="8"/>
      <c r="AG423" s="8"/>
      <c r="AH423" s="8"/>
      <c r="AI423" s="8"/>
      <c r="AJ423" s="8"/>
      <c r="AK423" s="8"/>
      <c r="AL423" s="8"/>
      <c r="AM423" s="8">
        <v>126331320</v>
      </c>
      <c r="AN423" s="8">
        <f>SUBTOTAL(9,AC423:AM423)</f>
        <v>126331320</v>
      </c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>
        <v>130938200</v>
      </c>
      <c r="AZ423" s="8"/>
      <c r="BA423" s="8">
        <f>VLOOKUP(B423,[1]Hoja3!J$3:K$674,2,0)</f>
        <v>156997775</v>
      </c>
      <c r="BB423" s="8"/>
      <c r="BC423" s="8">
        <f t="shared" si="52"/>
        <v>414267295</v>
      </c>
      <c r="BD423" s="4">
        <v>130938200</v>
      </c>
      <c r="BE423" s="4">
        <f t="shared" si="53"/>
        <v>283329095</v>
      </c>
      <c r="BF423" s="30">
        <f t="shared" si="54"/>
        <v>414267295</v>
      </c>
      <c r="BG423" s="18">
        <f t="shared" si="55"/>
        <v>0</v>
      </c>
      <c r="BH423" s="23"/>
      <c r="BI423" s="23"/>
      <c r="BJ423" s="23"/>
    </row>
    <row r="424" spans="1:66" ht="15" customHeight="1" x14ac:dyDescent="0.2">
      <c r="A424" s="1">
        <v>8999993620</v>
      </c>
      <c r="B424" s="1">
        <v>899999362</v>
      </c>
      <c r="C424" s="15">
        <v>211725317</v>
      </c>
      <c r="D424" s="16" t="s">
        <v>494</v>
      </c>
      <c r="E424" s="41" t="s">
        <v>1521</v>
      </c>
      <c r="F424" s="28"/>
      <c r="G424" s="2"/>
      <c r="H424" s="3"/>
      <c r="I424" s="2"/>
      <c r="J424" s="29"/>
      <c r="K424" s="3"/>
      <c r="L424" s="2"/>
      <c r="M424" s="8"/>
      <c r="N424" s="3"/>
      <c r="O424" s="2"/>
      <c r="P424" s="3"/>
      <c r="Q424" s="2"/>
      <c r="R424" s="3"/>
      <c r="S424" s="3"/>
      <c r="T424" s="2"/>
      <c r="U424" s="8">
        <f t="shared" si="50"/>
        <v>0</v>
      </c>
      <c r="V424" s="8"/>
      <c r="W424" s="8"/>
      <c r="X424" s="8"/>
      <c r="Y424" s="8"/>
      <c r="Z424" s="8"/>
      <c r="AA424" s="8"/>
      <c r="AB424" s="8"/>
      <c r="AC424" s="8">
        <f t="shared" si="51"/>
        <v>0</v>
      </c>
      <c r="AD424" s="8"/>
      <c r="AE424" s="8"/>
      <c r="AF424" s="8"/>
      <c r="AG424" s="8"/>
      <c r="AH424" s="8"/>
      <c r="AI424" s="8"/>
      <c r="AJ424" s="8"/>
      <c r="AK424" s="8"/>
      <c r="AL424" s="8"/>
      <c r="AM424" s="8">
        <v>219286974</v>
      </c>
      <c r="AN424" s="8">
        <f>SUBTOTAL(9,AC424:AM424)</f>
        <v>219286974</v>
      </c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>
        <v>88742515</v>
      </c>
      <c r="AZ424" s="8"/>
      <c r="BA424" s="8"/>
      <c r="BB424" s="8"/>
      <c r="BC424" s="8">
        <f t="shared" si="52"/>
        <v>308029489</v>
      </c>
      <c r="BD424" s="4">
        <v>88742515</v>
      </c>
      <c r="BE424" s="4">
        <f t="shared" si="53"/>
        <v>219286974</v>
      </c>
      <c r="BF424" s="30">
        <f t="shared" si="54"/>
        <v>308029489</v>
      </c>
      <c r="BG424" s="18">
        <f t="shared" si="55"/>
        <v>0</v>
      </c>
      <c r="BH424" s="23"/>
      <c r="BI424" s="23"/>
      <c r="BJ424" s="23"/>
    </row>
    <row r="425" spans="1:66" ht="15" customHeight="1" x14ac:dyDescent="0.2">
      <c r="A425" s="1">
        <v>8000156891</v>
      </c>
      <c r="B425" s="1">
        <v>800015689</v>
      </c>
      <c r="C425" s="15">
        <v>211752317</v>
      </c>
      <c r="D425" s="16" t="s">
        <v>711</v>
      </c>
      <c r="E425" s="41" t="s">
        <v>1735</v>
      </c>
      <c r="F425" s="28"/>
      <c r="G425" s="2"/>
      <c r="H425" s="3"/>
      <c r="I425" s="2"/>
      <c r="J425" s="29"/>
      <c r="K425" s="3"/>
      <c r="L425" s="2"/>
      <c r="M425" s="8"/>
      <c r="N425" s="3"/>
      <c r="O425" s="2"/>
      <c r="P425" s="3"/>
      <c r="Q425" s="2"/>
      <c r="R425" s="3"/>
      <c r="S425" s="3"/>
      <c r="T425" s="2"/>
      <c r="U425" s="8">
        <f t="shared" si="50"/>
        <v>0</v>
      </c>
      <c r="V425" s="8"/>
      <c r="W425" s="8"/>
      <c r="X425" s="8"/>
      <c r="Y425" s="8"/>
      <c r="Z425" s="8"/>
      <c r="AA425" s="8"/>
      <c r="AB425" s="8"/>
      <c r="AC425" s="8">
        <f t="shared" si="51"/>
        <v>0</v>
      </c>
      <c r="AD425" s="8"/>
      <c r="AE425" s="8"/>
      <c r="AF425" s="8"/>
      <c r="AG425" s="8"/>
      <c r="AH425" s="8"/>
      <c r="AI425" s="8"/>
      <c r="AJ425" s="8"/>
      <c r="AK425" s="8"/>
      <c r="AL425" s="8"/>
      <c r="AM425" s="8">
        <v>25039825</v>
      </c>
      <c r="AN425" s="8">
        <f>SUBTOTAL(9,AC425:AM425)</f>
        <v>25039825</v>
      </c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>
        <v>135224150</v>
      </c>
      <c r="AZ425" s="8"/>
      <c r="BA425" s="8">
        <f>VLOOKUP(B425,[1]Hoja3!J$3:K$674,2,0)</f>
        <v>209661015</v>
      </c>
      <c r="BB425" s="8"/>
      <c r="BC425" s="8">
        <f t="shared" si="52"/>
        <v>369924990</v>
      </c>
      <c r="BD425" s="4">
        <v>135224150</v>
      </c>
      <c r="BE425" s="4">
        <f t="shared" si="53"/>
        <v>234700840</v>
      </c>
      <c r="BF425" s="30">
        <f t="shared" si="54"/>
        <v>369924990</v>
      </c>
      <c r="BG425" s="18">
        <f t="shared" si="55"/>
        <v>0</v>
      </c>
      <c r="BH425" s="23"/>
      <c r="BI425" s="23"/>
      <c r="BJ425" s="23"/>
    </row>
    <row r="426" spans="1:66" ht="15" customHeight="1" x14ac:dyDescent="0.2">
      <c r="A426" s="1">
        <v>8909811622</v>
      </c>
      <c r="B426" s="1">
        <v>890981162</v>
      </c>
      <c r="C426" s="15">
        <v>211505315</v>
      </c>
      <c r="D426" s="16" t="s">
        <v>93</v>
      </c>
      <c r="E426" s="41" t="s">
        <v>1124</v>
      </c>
      <c r="F426" s="28"/>
      <c r="G426" s="2"/>
      <c r="H426" s="3"/>
      <c r="I426" s="2"/>
      <c r="J426" s="29"/>
      <c r="K426" s="3"/>
      <c r="L426" s="2"/>
      <c r="M426" s="8"/>
      <c r="N426" s="3"/>
      <c r="O426" s="2"/>
      <c r="P426" s="3"/>
      <c r="Q426" s="2"/>
      <c r="R426" s="3"/>
      <c r="S426" s="3"/>
      <c r="T426" s="2"/>
      <c r="U426" s="8">
        <f t="shared" si="50"/>
        <v>0</v>
      </c>
      <c r="V426" s="8"/>
      <c r="W426" s="8"/>
      <c r="X426" s="8"/>
      <c r="Y426" s="8"/>
      <c r="Z426" s="8"/>
      <c r="AA426" s="8"/>
      <c r="AB426" s="8"/>
      <c r="AC426" s="8">
        <f t="shared" si="51"/>
        <v>0</v>
      </c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>
        <f>VLOOKUP(B426,[1]Hoja3!J$3:K$674,2,0)</f>
        <v>87669867</v>
      </c>
      <c r="BB426" s="8"/>
      <c r="BC426" s="8">
        <f t="shared" si="52"/>
        <v>87669867</v>
      </c>
      <c r="BD426" s="4"/>
      <c r="BE426" s="4">
        <f t="shared" si="53"/>
        <v>87669867</v>
      </c>
      <c r="BF426" s="30">
        <f t="shared" si="54"/>
        <v>87669867</v>
      </c>
      <c r="BG426" s="18">
        <f t="shared" si="55"/>
        <v>0</v>
      </c>
      <c r="BH426" s="23"/>
      <c r="BI426" s="23"/>
      <c r="BJ426" s="23"/>
    </row>
    <row r="427" spans="1:66" ht="15" customHeight="1" x14ac:dyDescent="0.2">
      <c r="A427" s="1">
        <v>8911801779</v>
      </c>
      <c r="B427" s="1">
        <v>891180177</v>
      </c>
      <c r="C427" s="15">
        <v>211941319</v>
      </c>
      <c r="D427" s="16" t="s">
        <v>604</v>
      </c>
      <c r="E427" s="41" t="s">
        <v>1624</v>
      </c>
      <c r="F427" s="28"/>
      <c r="G427" s="17"/>
      <c r="H427" s="3"/>
      <c r="I427" s="2"/>
      <c r="J427" s="29"/>
      <c r="K427" s="3"/>
      <c r="L427" s="17"/>
      <c r="M427" s="34"/>
      <c r="N427" s="3"/>
      <c r="O427" s="17"/>
      <c r="P427" s="3"/>
      <c r="Q427" s="2"/>
      <c r="R427" s="3"/>
      <c r="S427" s="3"/>
      <c r="T427" s="17"/>
      <c r="U427" s="8">
        <f t="shared" si="50"/>
        <v>0</v>
      </c>
      <c r="V427" s="8"/>
      <c r="W427" s="8"/>
      <c r="X427" s="8"/>
      <c r="Y427" s="8"/>
      <c r="Z427" s="8"/>
      <c r="AA427" s="8"/>
      <c r="AB427" s="8"/>
      <c r="AC427" s="8">
        <f t="shared" si="51"/>
        <v>0</v>
      </c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>
        <v>124936395</v>
      </c>
      <c r="AZ427" s="8"/>
      <c r="BA427" s="8">
        <f>VLOOKUP(B427,[1]Hoja3!J$3:K$674,2,0)</f>
        <v>314706960</v>
      </c>
      <c r="BB427" s="8"/>
      <c r="BC427" s="8">
        <f t="shared" si="52"/>
        <v>439643355</v>
      </c>
      <c r="BD427" s="4">
        <v>124936395</v>
      </c>
      <c r="BE427" s="4">
        <f t="shared" si="53"/>
        <v>314706960</v>
      </c>
      <c r="BF427" s="30">
        <f t="shared" si="54"/>
        <v>439643355</v>
      </c>
      <c r="BG427" s="18">
        <f t="shared" si="55"/>
        <v>0</v>
      </c>
      <c r="BH427" s="23"/>
      <c r="BI427" s="14"/>
      <c r="BJ427" s="14"/>
      <c r="BK427" s="14"/>
      <c r="BL427" s="14"/>
      <c r="BM427" s="14"/>
      <c r="BN427" s="14"/>
    </row>
    <row r="428" spans="1:66" ht="15" customHeight="1" x14ac:dyDescent="0.2">
      <c r="A428" s="1">
        <v>8000996949</v>
      </c>
      <c r="B428" s="1">
        <v>800099694</v>
      </c>
      <c r="C428" s="15">
        <v>212068320</v>
      </c>
      <c r="D428" s="16" t="s">
        <v>843</v>
      </c>
      <c r="E428" s="41" t="s">
        <v>1859</v>
      </c>
      <c r="F428" s="28"/>
      <c r="G428" s="17"/>
      <c r="H428" s="3"/>
      <c r="I428" s="2"/>
      <c r="J428" s="29"/>
      <c r="K428" s="3"/>
      <c r="L428" s="17"/>
      <c r="M428" s="34"/>
      <c r="N428" s="3"/>
      <c r="O428" s="17"/>
      <c r="P428" s="3"/>
      <c r="Q428" s="2"/>
      <c r="R428" s="3"/>
      <c r="S428" s="3"/>
      <c r="T428" s="17"/>
      <c r="U428" s="8">
        <f t="shared" si="50"/>
        <v>0</v>
      </c>
      <c r="V428" s="8"/>
      <c r="W428" s="8"/>
      <c r="X428" s="8"/>
      <c r="Y428" s="8"/>
      <c r="Z428" s="8"/>
      <c r="AA428" s="8"/>
      <c r="AB428" s="8"/>
      <c r="AC428" s="8">
        <f t="shared" si="51"/>
        <v>0</v>
      </c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>
        <v>38989535</v>
      </c>
      <c r="AZ428" s="8"/>
      <c r="BA428" s="8">
        <f>VLOOKUP(B428,[1]Hoja3!J$3:K$674,2,0)</f>
        <v>29600446</v>
      </c>
      <c r="BB428" s="8"/>
      <c r="BC428" s="8">
        <f t="shared" si="52"/>
        <v>68589981</v>
      </c>
      <c r="BD428" s="4">
        <v>38989535</v>
      </c>
      <c r="BE428" s="4">
        <f t="shared" si="53"/>
        <v>29600446</v>
      </c>
      <c r="BF428" s="30">
        <f t="shared" si="54"/>
        <v>68589981</v>
      </c>
      <c r="BG428" s="18">
        <f t="shared" si="55"/>
        <v>0</v>
      </c>
      <c r="BH428" s="23"/>
      <c r="BI428" s="14"/>
      <c r="BJ428" s="14"/>
      <c r="BK428" s="14"/>
      <c r="BL428" s="14"/>
      <c r="BM428" s="14"/>
      <c r="BN428" s="14"/>
    </row>
    <row r="429" spans="1:66" ht="15" customHeight="1" x14ac:dyDescent="0.2">
      <c r="A429" s="1">
        <v>8999997014</v>
      </c>
      <c r="B429" s="1">
        <v>899999701</v>
      </c>
      <c r="C429" s="15">
        <v>212025320</v>
      </c>
      <c r="D429" s="16" t="s">
        <v>495</v>
      </c>
      <c r="E429" s="41" t="s">
        <v>1522</v>
      </c>
      <c r="F429" s="28"/>
      <c r="G429" s="2"/>
      <c r="H429" s="3"/>
      <c r="I429" s="2"/>
      <c r="J429" s="29"/>
      <c r="K429" s="3"/>
      <c r="L429" s="2"/>
      <c r="M429" s="8"/>
      <c r="N429" s="3"/>
      <c r="O429" s="2"/>
      <c r="P429" s="3"/>
      <c r="Q429" s="2"/>
      <c r="R429" s="3"/>
      <c r="S429" s="3"/>
      <c r="T429" s="2"/>
      <c r="U429" s="8">
        <f t="shared" si="50"/>
        <v>0</v>
      </c>
      <c r="V429" s="8"/>
      <c r="W429" s="8"/>
      <c r="X429" s="8"/>
      <c r="Y429" s="8"/>
      <c r="Z429" s="8"/>
      <c r="AA429" s="8"/>
      <c r="AB429" s="8"/>
      <c r="AC429" s="8">
        <f t="shared" si="51"/>
        <v>0</v>
      </c>
      <c r="AD429" s="8"/>
      <c r="AE429" s="8"/>
      <c r="AF429" s="8"/>
      <c r="AG429" s="8"/>
      <c r="AH429" s="8"/>
      <c r="AI429" s="8"/>
      <c r="AJ429" s="8"/>
      <c r="AK429" s="8"/>
      <c r="AL429" s="8"/>
      <c r="AM429" s="8">
        <v>343168779</v>
      </c>
      <c r="AN429" s="8">
        <f t="shared" ref="AN429:AN436" si="58">SUBTOTAL(9,AC429:AM429)</f>
        <v>343168779</v>
      </c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>
        <v>158476945</v>
      </c>
      <c r="AZ429" s="8"/>
      <c r="BA429" s="8"/>
      <c r="BB429" s="8"/>
      <c r="BC429" s="8">
        <f t="shared" si="52"/>
        <v>501645724</v>
      </c>
      <c r="BD429" s="4">
        <v>158476945</v>
      </c>
      <c r="BE429" s="4">
        <f t="shared" si="53"/>
        <v>343168779</v>
      </c>
      <c r="BF429" s="30">
        <f t="shared" si="54"/>
        <v>501645724</v>
      </c>
      <c r="BG429" s="18">
        <f t="shared" si="55"/>
        <v>0</v>
      </c>
      <c r="BH429" s="23"/>
      <c r="BI429" s="23"/>
      <c r="BJ429" s="23"/>
    </row>
    <row r="430" spans="1:66" ht="15" customHeight="1" x14ac:dyDescent="0.2">
      <c r="A430" s="1">
        <v>8000990900</v>
      </c>
      <c r="B430" s="1">
        <v>800099090</v>
      </c>
      <c r="C430" s="15">
        <v>212052320</v>
      </c>
      <c r="D430" s="16" t="s">
        <v>712</v>
      </c>
      <c r="E430" s="41" t="s">
        <v>1736</v>
      </c>
      <c r="F430" s="28"/>
      <c r="G430" s="2"/>
      <c r="H430" s="3"/>
      <c r="I430" s="2"/>
      <c r="J430" s="29"/>
      <c r="K430" s="3"/>
      <c r="L430" s="2"/>
      <c r="M430" s="8"/>
      <c r="N430" s="3"/>
      <c r="O430" s="2"/>
      <c r="P430" s="3"/>
      <c r="Q430" s="2"/>
      <c r="R430" s="3"/>
      <c r="S430" s="3"/>
      <c r="T430" s="2"/>
      <c r="U430" s="8">
        <f t="shared" si="50"/>
        <v>0</v>
      </c>
      <c r="V430" s="8"/>
      <c r="W430" s="8"/>
      <c r="X430" s="8"/>
      <c r="Y430" s="8"/>
      <c r="Z430" s="8"/>
      <c r="AA430" s="8"/>
      <c r="AB430" s="8"/>
      <c r="AC430" s="8">
        <f t="shared" si="51"/>
        <v>0</v>
      </c>
      <c r="AD430" s="8"/>
      <c r="AE430" s="8"/>
      <c r="AF430" s="8"/>
      <c r="AG430" s="8"/>
      <c r="AH430" s="8"/>
      <c r="AI430" s="8"/>
      <c r="AJ430" s="8"/>
      <c r="AK430" s="8"/>
      <c r="AL430" s="8"/>
      <c r="AM430" s="8">
        <v>69183077</v>
      </c>
      <c r="AN430" s="8">
        <f t="shared" si="58"/>
        <v>69183077</v>
      </c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>
        <f>VLOOKUP(B430,[1]Hoja3!J$3:K$674,2,0)</f>
        <v>80402667</v>
      </c>
      <c r="BB430" s="8"/>
      <c r="BC430" s="8">
        <f t="shared" si="52"/>
        <v>149585744</v>
      </c>
      <c r="BD430" s="4"/>
      <c r="BE430" s="4">
        <f t="shared" si="53"/>
        <v>149585744</v>
      </c>
      <c r="BF430" s="30">
        <f t="shared" si="54"/>
        <v>149585744</v>
      </c>
      <c r="BG430" s="18">
        <f t="shared" si="55"/>
        <v>0</v>
      </c>
      <c r="BH430" s="23"/>
      <c r="BI430" s="23"/>
      <c r="BJ430" s="23"/>
    </row>
    <row r="431" spans="1:66" ht="15" customHeight="1" x14ac:dyDescent="0.2">
      <c r="A431" s="1">
        <v>8000836727</v>
      </c>
      <c r="B431" s="1">
        <v>800083672</v>
      </c>
      <c r="C431" s="15">
        <v>212352323</v>
      </c>
      <c r="D431" s="16" t="s">
        <v>713</v>
      </c>
      <c r="E431" s="41" t="s">
        <v>1737</v>
      </c>
      <c r="F431" s="28"/>
      <c r="G431" s="2"/>
      <c r="H431" s="3"/>
      <c r="I431" s="2"/>
      <c r="J431" s="29"/>
      <c r="K431" s="3"/>
      <c r="L431" s="2"/>
      <c r="M431" s="8"/>
      <c r="N431" s="3"/>
      <c r="O431" s="2"/>
      <c r="P431" s="3"/>
      <c r="Q431" s="2"/>
      <c r="R431" s="3"/>
      <c r="S431" s="3"/>
      <c r="T431" s="2"/>
      <c r="U431" s="8">
        <f t="shared" si="50"/>
        <v>0</v>
      </c>
      <c r="V431" s="8"/>
      <c r="W431" s="8"/>
      <c r="X431" s="8"/>
      <c r="Y431" s="8"/>
      <c r="Z431" s="8"/>
      <c r="AA431" s="8"/>
      <c r="AB431" s="8"/>
      <c r="AC431" s="8">
        <f t="shared" si="51"/>
        <v>0</v>
      </c>
      <c r="AD431" s="8"/>
      <c r="AE431" s="8"/>
      <c r="AF431" s="8"/>
      <c r="AG431" s="8"/>
      <c r="AH431" s="8"/>
      <c r="AI431" s="8"/>
      <c r="AJ431" s="8"/>
      <c r="AK431" s="8"/>
      <c r="AL431" s="8"/>
      <c r="AM431" s="8">
        <v>92109964</v>
      </c>
      <c r="AN431" s="8">
        <f t="shared" si="58"/>
        <v>92109964</v>
      </c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>
        <v>45387830</v>
      </c>
      <c r="AZ431" s="8"/>
      <c r="BA431" s="8"/>
      <c r="BB431" s="8"/>
      <c r="BC431" s="8">
        <f t="shared" si="52"/>
        <v>137497794</v>
      </c>
      <c r="BD431" s="4">
        <v>45387830</v>
      </c>
      <c r="BE431" s="4">
        <f t="shared" si="53"/>
        <v>92109964</v>
      </c>
      <c r="BF431" s="30">
        <f t="shared" si="54"/>
        <v>137497794</v>
      </c>
      <c r="BG431" s="18">
        <f t="shared" si="55"/>
        <v>0</v>
      </c>
      <c r="BH431" s="23"/>
      <c r="BI431" s="23"/>
      <c r="BJ431" s="23"/>
    </row>
    <row r="432" spans="1:66" ht="15" customHeight="1" x14ac:dyDescent="0.2">
      <c r="A432" s="1">
        <v>8917800474</v>
      </c>
      <c r="B432" s="1">
        <v>891780047</v>
      </c>
      <c r="C432" s="15">
        <v>211847318</v>
      </c>
      <c r="D432" s="16" t="s">
        <v>649</v>
      </c>
      <c r="E432" s="41" t="s">
        <v>1669</v>
      </c>
      <c r="F432" s="28"/>
      <c r="G432" s="2"/>
      <c r="H432" s="3"/>
      <c r="I432" s="2"/>
      <c r="J432" s="29"/>
      <c r="K432" s="3"/>
      <c r="L432" s="2"/>
      <c r="M432" s="8"/>
      <c r="N432" s="3"/>
      <c r="O432" s="2"/>
      <c r="P432" s="3"/>
      <c r="Q432" s="2"/>
      <c r="R432" s="3"/>
      <c r="S432" s="3"/>
      <c r="T432" s="2"/>
      <c r="U432" s="8">
        <f t="shared" si="50"/>
        <v>0</v>
      </c>
      <c r="V432" s="8"/>
      <c r="W432" s="8"/>
      <c r="X432" s="8"/>
      <c r="Y432" s="8"/>
      <c r="Z432" s="8"/>
      <c r="AA432" s="8"/>
      <c r="AB432" s="8"/>
      <c r="AC432" s="8">
        <f t="shared" si="51"/>
        <v>0</v>
      </c>
      <c r="AD432" s="8"/>
      <c r="AE432" s="8"/>
      <c r="AF432" s="8"/>
      <c r="AG432" s="8"/>
      <c r="AH432" s="8"/>
      <c r="AI432" s="8"/>
      <c r="AJ432" s="8"/>
      <c r="AK432" s="8"/>
      <c r="AL432" s="8"/>
      <c r="AM432" s="8">
        <v>135719857</v>
      </c>
      <c r="AN432" s="8">
        <f t="shared" si="58"/>
        <v>135719857</v>
      </c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>
        <v>355223260</v>
      </c>
      <c r="AZ432" s="8"/>
      <c r="BA432" s="8">
        <f>VLOOKUP(B432,[1]Hoja3!J$3:K$674,2,0)</f>
        <v>461823986</v>
      </c>
      <c r="BB432" s="8"/>
      <c r="BC432" s="8">
        <f t="shared" si="52"/>
        <v>952767103</v>
      </c>
      <c r="BD432" s="4">
        <v>355223260</v>
      </c>
      <c r="BE432" s="4">
        <f t="shared" si="53"/>
        <v>597543843</v>
      </c>
      <c r="BF432" s="30">
        <f t="shared" si="54"/>
        <v>952767103</v>
      </c>
      <c r="BG432" s="18">
        <f t="shared" si="55"/>
        <v>0</v>
      </c>
      <c r="BH432" s="23"/>
      <c r="BI432" s="23"/>
      <c r="BJ432" s="23"/>
    </row>
    <row r="433" spans="1:66" ht="15" customHeight="1" x14ac:dyDescent="0.2">
      <c r="A433" s="1">
        <v>8000981936</v>
      </c>
      <c r="B433" s="1">
        <v>800098193</v>
      </c>
      <c r="C433" s="15">
        <v>211850318</v>
      </c>
      <c r="D433" s="16" t="s">
        <v>676</v>
      </c>
      <c r="E433" s="41" t="s">
        <v>1698</v>
      </c>
      <c r="F433" s="28"/>
      <c r="G433" s="17"/>
      <c r="H433" s="3"/>
      <c r="I433" s="2"/>
      <c r="J433" s="29"/>
      <c r="K433" s="3"/>
      <c r="L433" s="17"/>
      <c r="M433" s="34"/>
      <c r="N433" s="3"/>
      <c r="O433" s="17"/>
      <c r="P433" s="3"/>
      <c r="Q433" s="2"/>
      <c r="R433" s="3"/>
      <c r="S433" s="3"/>
      <c r="T433" s="17"/>
      <c r="U433" s="8">
        <f t="shared" si="50"/>
        <v>0</v>
      </c>
      <c r="V433" s="8"/>
      <c r="W433" s="8"/>
      <c r="X433" s="8"/>
      <c r="Y433" s="8"/>
      <c r="Z433" s="8"/>
      <c r="AA433" s="8"/>
      <c r="AB433" s="8"/>
      <c r="AC433" s="8">
        <f t="shared" si="51"/>
        <v>0</v>
      </c>
      <c r="AD433" s="8"/>
      <c r="AE433" s="8"/>
      <c r="AF433" s="8"/>
      <c r="AG433" s="8"/>
      <c r="AH433" s="8"/>
      <c r="AI433" s="8"/>
      <c r="AJ433" s="8"/>
      <c r="AK433" s="8"/>
      <c r="AL433" s="8"/>
      <c r="AM433" s="8">
        <v>148353210</v>
      </c>
      <c r="AN433" s="8">
        <f t="shared" si="58"/>
        <v>148353210</v>
      </c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>
        <v>69404640</v>
      </c>
      <c r="AZ433" s="8"/>
      <c r="BA433" s="8"/>
      <c r="BB433" s="8"/>
      <c r="BC433" s="8">
        <f t="shared" si="52"/>
        <v>217757850</v>
      </c>
      <c r="BD433" s="4">
        <v>69404640</v>
      </c>
      <c r="BE433" s="4">
        <f t="shared" si="53"/>
        <v>148353210</v>
      </c>
      <c r="BF433" s="30">
        <f t="shared" si="54"/>
        <v>217757850</v>
      </c>
      <c r="BG433" s="18">
        <f t="shared" si="55"/>
        <v>0</v>
      </c>
      <c r="BH433" s="23"/>
      <c r="BI433" s="14"/>
      <c r="BJ433" s="14"/>
      <c r="BK433" s="14"/>
      <c r="BL433" s="14"/>
      <c r="BM433" s="14"/>
      <c r="BN433" s="14"/>
    </row>
    <row r="434" spans="1:66" ht="15" customHeight="1" x14ac:dyDescent="0.2">
      <c r="A434" s="1">
        <v>8907020152</v>
      </c>
      <c r="B434" s="1">
        <v>890702015</v>
      </c>
      <c r="C434" s="15">
        <v>211973319</v>
      </c>
      <c r="D434" s="16" t="s">
        <v>2221</v>
      </c>
      <c r="E434" s="41" t="s">
        <v>1946</v>
      </c>
      <c r="F434" s="28"/>
      <c r="G434" s="2"/>
      <c r="H434" s="3"/>
      <c r="I434" s="2"/>
      <c r="J434" s="29"/>
      <c r="K434" s="3"/>
      <c r="L434" s="2"/>
      <c r="M434" s="8"/>
      <c r="N434" s="3"/>
      <c r="O434" s="2"/>
      <c r="P434" s="3"/>
      <c r="Q434" s="2"/>
      <c r="R434" s="3"/>
      <c r="S434" s="3"/>
      <c r="T434" s="2"/>
      <c r="U434" s="8">
        <f t="shared" si="50"/>
        <v>0</v>
      </c>
      <c r="V434" s="8"/>
      <c r="W434" s="8"/>
      <c r="X434" s="8"/>
      <c r="Y434" s="8"/>
      <c r="Z434" s="8"/>
      <c r="AA434" s="8"/>
      <c r="AB434" s="8"/>
      <c r="AC434" s="8">
        <f t="shared" si="51"/>
        <v>0</v>
      </c>
      <c r="AD434" s="8"/>
      <c r="AE434" s="8"/>
      <c r="AF434" s="8"/>
      <c r="AG434" s="8"/>
      <c r="AH434" s="8"/>
      <c r="AI434" s="8"/>
      <c r="AJ434" s="8"/>
      <c r="AK434" s="8"/>
      <c r="AL434" s="8"/>
      <c r="AM434" s="8">
        <v>435011638</v>
      </c>
      <c r="AN434" s="8">
        <f t="shared" si="58"/>
        <v>435011638</v>
      </c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>
        <f t="shared" si="52"/>
        <v>435011638</v>
      </c>
      <c r="BD434" s="4"/>
      <c r="BE434" s="4">
        <f t="shared" si="53"/>
        <v>435011638</v>
      </c>
      <c r="BF434" s="30">
        <f t="shared" si="54"/>
        <v>435011638</v>
      </c>
      <c r="BG434" s="18">
        <f t="shared" si="55"/>
        <v>0</v>
      </c>
      <c r="BH434" s="23"/>
      <c r="BI434" s="23"/>
      <c r="BJ434" s="23"/>
    </row>
    <row r="435" spans="1:66" ht="15" customHeight="1" x14ac:dyDescent="0.2">
      <c r="A435" s="1">
        <v>8000843780</v>
      </c>
      <c r="B435" s="1">
        <v>800084378</v>
      </c>
      <c r="C435" s="15">
        <v>211819318</v>
      </c>
      <c r="D435" s="16" t="s">
        <v>385</v>
      </c>
      <c r="E435" s="41" t="s">
        <v>1415</v>
      </c>
      <c r="F435" s="28"/>
      <c r="G435" s="2"/>
      <c r="H435" s="3"/>
      <c r="I435" s="2"/>
      <c r="J435" s="29"/>
      <c r="K435" s="3"/>
      <c r="L435" s="2"/>
      <c r="M435" s="8"/>
      <c r="N435" s="3"/>
      <c r="O435" s="2"/>
      <c r="P435" s="3"/>
      <c r="Q435" s="2"/>
      <c r="R435" s="3"/>
      <c r="S435" s="3"/>
      <c r="T435" s="2"/>
      <c r="U435" s="8">
        <f t="shared" si="50"/>
        <v>0</v>
      </c>
      <c r="V435" s="8"/>
      <c r="W435" s="8"/>
      <c r="X435" s="8"/>
      <c r="Y435" s="8"/>
      <c r="Z435" s="8"/>
      <c r="AA435" s="8"/>
      <c r="AB435" s="8"/>
      <c r="AC435" s="8">
        <f t="shared" si="51"/>
        <v>0</v>
      </c>
      <c r="AD435" s="8"/>
      <c r="AE435" s="8"/>
      <c r="AF435" s="8"/>
      <c r="AG435" s="8"/>
      <c r="AH435" s="8"/>
      <c r="AI435" s="8"/>
      <c r="AJ435" s="8"/>
      <c r="AK435" s="8"/>
      <c r="AL435" s="8"/>
      <c r="AM435" s="8">
        <v>66705471</v>
      </c>
      <c r="AN435" s="8">
        <f t="shared" si="58"/>
        <v>66705471</v>
      </c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>
        <v>544457705</v>
      </c>
      <c r="AZ435" s="8"/>
      <c r="BA435" s="8">
        <f>VLOOKUP(B435,[1]Hoja3!J$3:K$674,2,0)</f>
        <v>579514872</v>
      </c>
      <c r="BB435" s="8"/>
      <c r="BC435" s="8">
        <f t="shared" si="52"/>
        <v>1190678048</v>
      </c>
      <c r="BD435" s="4">
        <v>544457705</v>
      </c>
      <c r="BE435" s="4">
        <f t="shared" si="53"/>
        <v>646220343</v>
      </c>
      <c r="BF435" s="30">
        <f t="shared" si="54"/>
        <v>1190678048</v>
      </c>
      <c r="BG435" s="18">
        <f t="shared" si="55"/>
        <v>0</v>
      </c>
      <c r="BH435" s="23"/>
      <c r="BI435" s="23"/>
      <c r="BJ435" s="23"/>
    </row>
    <row r="436" spans="1:66" ht="15" customHeight="1" x14ac:dyDescent="0.2">
      <c r="A436" s="1">
        <v>8902049790</v>
      </c>
      <c r="B436" s="1">
        <v>890204979</v>
      </c>
      <c r="C436" s="15">
        <v>212268322</v>
      </c>
      <c r="D436" s="16" t="s">
        <v>844</v>
      </c>
      <c r="E436" s="41" t="s">
        <v>1860</v>
      </c>
      <c r="F436" s="28"/>
      <c r="G436" s="2"/>
      <c r="H436" s="3"/>
      <c r="I436" s="2"/>
      <c r="J436" s="29"/>
      <c r="K436" s="3"/>
      <c r="L436" s="2"/>
      <c r="M436" s="8"/>
      <c r="N436" s="3"/>
      <c r="O436" s="2"/>
      <c r="P436" s="3"/>
      <c r="Q436" s="2"/>
      <c r="R436" s="3"/>
      <c r="S436" s="3"/>
      <c r="T436" s="2"/>
      <c r="U436" s="8">
        <f t="shared" si="50"/>
        <v>0</v>
      </c>
      <c r="V436" s="8"/>
      <c r="W436" s="8"/>
      <c r="X436" s="8"/>
      <c r="Y436" s="8"/>
      <c r="Z436" s="8"/>
      <c r="AA436" s="8"/>
      <c r="AB436" s="8"/>
      <c r="AC436" s="8">
        <f t="shared" si="51"/>
        <v>0</v>
      </c>
      <c r="AD436" s="8"/>
      <c r="AE436" s="8"/>
      <c r="AF436" s="8"/>
      <c r="AG436" s="8"/>
      <c r="AH436" s="8"/>
      <c r="AI436" s="8"/>
      <c r="AJ436" s="8"/>
      <c r="AK436" s="8"/>
      <c r="AL436" s="8"/>
      <c r="AM436" s="8">
        <v>31175691</v>
      </c>
      <c r="AN436" s="8">
        <f t="shared" si="58"/>
        <v>31175691</v>
      </c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>
        <v>16010425</v>
      </c>
      <c r="AZ436" s="8"/>
      <c r="BA436" s="8"/>
      <c r="BB436" s="8"/>
      <c r="BC436" s="8">
        <f t="shared" si="52"/>
        <v>47186116</v>
      </c>
      <c r="BD436" s="4">
        <v>16010425</v>
      </c>
      <c r="BE436" s="4">
        <f t="shared" si="53"/>
        <v>31175691</v>
      </c>
      <c r="BF436" s="30">
        <f t="shared" si="54"/>
        <v>47186116</v>
      </c>
      <c r="BG436" s="18">
        <f t="shared" si="55"/>
        <v>0</v>
      </c>
      <c r="BH436" s="23"/>
      <c r="BI436" s="23"/>
      <c r="BJ436" s="23"/>
    </row>
    <row r="437" spans="1:66" ht="15" customHeight="1" x14ac:dyDescent="0.2">
      <c r="A437" s="1">
        <v>8000613133</v>
      </c>
      <c r="B437" s="1">
        <v>800061313</v>
      </c>
      <c r="C437" s="15">
        <v>216570265</v>
      </c>
      <c r="D437" s="16" t="s">
        <v>898</v>
      </c>
      <c r="E437" s="41" t="s">
        <v>1912</v>
      </c>
      <c r="F437" s="28"/>
      <c r="G437" s="2"/>
      <c r="H437" s="3"/>
      <c r="I437" s="2"/>
      <c r="J437" s="29"/>
      <c r="K437" s="3"/>
      <c r="L437" s="2"/>
      <c r="M437" s="8"/>
      <c r="N437" s="3"/>
      <c r="O437" s="2"/>
      <c r="P437" s="3"/>
      <c r="Q437" s="2"/>
      <c r="R437" s="3"/>
      <c r="S437" s="3"/>
      <c r="T437" s="2"/>
      <c r="U437" s="8">
        <f t="shared" si="50"/>
        <v>0</v>
      </c>
      <c r="V437" s="8"/>
      <c r="W437" s="8"/>
      <c r="X437" s="8"/>
      <c r="Y437" s="8"/>
      <c r="Z437" s="8"/>
      <c r="AA437" s="8"/>
      <c r="AB437" s="8"/>
      <c r="AC437" s="8">
        <f t="shared" si="51"/>
        <v>0</v>
      </c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>
        <f>VLOOKUP(B437,[1]Hoja3!J$3:K$674,2,0)</f>
        <v>319394570</v>
      </c>
      <c r="BB437" s="8"/>
      <c r="BC437" s="8">
        <f t="shared" si="52"/>
        <v>319394570</v>
      </c>
      <c r="BD437" s="4"/>
      <c r="BE437" s="4">
        <f t="shared" si="53"/>
        <v>319394570</v>
      </c>
      <c r="BF437" s="30">
        <f t="shared" si="54"/>
        <v>319394570</v>
      </c>
      <c r="BG437" s="18">
        <f t="shared" si="55"/>
        <v>0</v>
      </c>
      <c r="BH437" s="23"/>
      <c r="BI437" s="23"/>
      <c r="BJ437" s="23"/>
    </row>
    <row r="438" spans="1:66" ht="15" customHeight="1" x14ac:dyDescent="0.2">
      <c r="A438" s="1">
        <v>8909820557</v>
      </c>
      <c r="B438" s="1">
        <v>890982055</v>
      </c>
      <c r="C438" s="15">
        <v>211805318</v>
      </c>
      <c r="D438" s="16" t="s">
        <v>94</v>
      </c>
      <c r="E438" s="41" t="s">
        <v>1125</v>
      </c>
      <c r="F438" s="28"/>
      <c r="G438" s="2"/>
      <c r="H438" s="3"/>
      <c r="I438" s="2"/>
      <c r="J438" s="29"/>
      <c r="K438" s="3"/>
      <c r="L438" s="2"/>
      <c r="M438" s="8"/>
      <c r="N438" s="3"/>
      <c r="O438" s="2"/>
      <c r="P438" s="3"/>
      <c r="Q438" s="2"/>
      <c r="R438" s="3"/>
      <c r="S438" s="3"/>
      <c r="T438" s="2"/>
      <c r="U438" s="8">
        <f t="shared" si="50"/>
        <v>0</v>
      </c>
      <c r="V438" s="8"/>
      <c r="W438" s="8"/>
      <c r="X438" s="8"/>
      <c r="Y438" s="8"/>
      <c r="Z438" s="8"/>
      <c r="AA438" s="8"/>
      <c r="AB438" s="8"/>
      <c r="AC438" s="8">
        <f t="shared" si="51"/>
        <v>0</v>
      </c>
      <c r="AD438" s="8"/>
      <c r="AE438" s="8"/>
      <c r="AF438" s="8"/>
      <c r="AG438" s="8"/>
      <c r="AH438" s="8"/>
      <c r="AI438" s="8"/>
      <c r="AJ438" s="8"/>
      <c r="AK438" s="8"/>
      <c r="AL438" s="8"/>
      <c r="AM438" s="8">
        <v>135062502</v>
      </c>
      <c r="AN438" s="8">
        <f>SUBTOTAL(9,AC438:AM438)</f>
        <v>135062502</v>
      </c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>
        <v>182851500</v>
      </c>
      <c r="AZ438" s="8"/>
      <c r="BA438" s="8">
        <f>VLOOKUP(B438,[1]Hoja3!J$3:K$674,2,0)</f>
        <v>365054837</v>
      </c>
      <c r="BB438" s="8"/>
      <c r="BC438" s="8">
        <f t="shared" si="52"/>
        <v>682968839</v>
      </c>
      <c r="BD438" s="4">
        <v>182851500</v>
      </c>
      <c r="BE438" s="4">
        <f t="shared" si="53"/>
        <v>500117339</v>
      </c>
      <c r="BF438" s="30">
        <f t="shared" si="54"/>
        <v>682968839</v>
      </c>
      <c r="BG438" s="18">
        <f t="shared" si="55"/>
        <v>0</v>
      </c>
      <c r="BH438" s="23"/>
      <c r="BI438" s="23"/>
      <c r="BJ438" s="23"/>
    </row>
    <row r="439" spans="1:66" ht="15" customHeight="1" x14ac:dyDescent="0.2">
      <c r="A439" s="1">
        <v>8999994421</v>
      </c>
      <c r="B439" s="1">
        <v>899999442</v>
      </c>
      <c r="C439" s="15">
        <v>212225322</v>
      </c>
      <c r="D439" s="16" t="s">
        <v>496</v>
      </c>
      <c r="E439" s="41" t="s">
        <v>1523</v>
      </c>
      <c r="F439" s="28"/>
      <c r="G439" s="2"/>
      <c r="H439" s="3"/>
      <c r="I439" s="2"/>
      <c r="J439" s="29"/>
      <c r="K439" s="3"/>
      <c r="L439" s="2"/>
      <c r="M439" s="8"/>
      <c r="N439" s="3"/>
      <c r="O439" s="2"/>
      <c r="P439" s="3"/>
      <c r="Q439" s="2"/>
      <c r="R439" s="3"/>
      <c r="S439" s="3"/>
      <c r="T439" s="2"/>
      <c r="U439" s="8">
        <f t="shared" si="50"/>
        <v>0</v>
      </c>
      <c r="V439" s="8"/>
      <c r="W439" s="8"/>
      <c r="X439" s="8"/>
      <c r="Y439" s="8"/>
      <c r="Z439" s="8"/>
      <c r="AA439" s="8"/>
      <c r="AB439" s="8"/>
      <c r="AC439" s="8">
        <f t="shared" si="51"/>
        <v>0</v>
      </c>
      <c r="AD439" s="8"/>
      <c r="AE439" s="8"/>
      <c r="AF439" s="8"/>
      <c r="AG439" s="8"/>
      <c r="AH439" s="8"/>
      <c r="AI439" s="8"/>
      <c r="AJ439" s="8"/>
      <c r="AK439" s="8"/>
      <c r="AL439" s="8"/>
      <c r="AM439" s="8">
        <v>260330607</v>
      </c>
      <c r="AN439" s="8">
        <f>SUBTOTAL(9,AC439:AM439)</f>
        <v>260330607</v>
      </c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>
        <f t="shared" si="52"/>
        <v>260330607</v>
      </c>
      <c r="BD439" s="4"/>
      <c r="BE439" s="4">
        <f t="shared" si="53"/>
        <v>260330607</v>
      </c>
      <c r="BF439" s="30">
        <f t="shared" si="54"/>
        <v>260330607</v>
      </c>
      <c r="BG439" s="18">
        <f t="shared" si="55"/>
        <v>0</v>
      </c>
      <c r="BH439" s="23"/>
      <c r="BI439" s="23"/>
      <c r="BJ439" s="23"/>
    </row>
    <row r="440" spans="1:66" ht="15" customHeight="1" x14ac:dyDescent="0.2">
      <c r="A440" s="1">
        <v>8909838303</v>
      </c>
      <c r="B440" s="1">
        <v>890983830</v>
      </c>
      <c r="C440" s="15">
        <v>212105321</v>
      </c>
      <c r="D440" s="16" t="s">
        <v>95</v>
      </c>
      <c r="E440" s="41" t="s">
        <v>1126</v>
      </c>
      <c r="F440" s="28"/>
      <c r="G440" s="2"/>
      <c r="H440" s="3"/>
      <c r="I440" s="2"/>
      <c r="J440" s="29"/>
      <c r="K440" s="3"/>
      <c r="L440" s="2"/>
      <c r="M440" s="8"/>
      <c r="N440" s="3"/>
      <c r="O440" s="2"/>
      <c r="P440" s="3"/>
      <c r="Q440" s="2"/>
      <c r="R440" s="3"/>
      <c r="S440" s="3"/>
      <c r="T440" s="2"/>
      <c r="U440" s="8">
        <f t="shared" si="50"/>
        <v>0</v>
      </c>
      <c r="V440" s="8"/>
      <c r="W440" s="8"/>
      <c r="X440" s="8"/>
      <c r="Y440" s="8"/>
      <c r="Z440" s="8"/>
      <c r="AA440" s="8"/>
      <c r="AB440" s="8"/>
      <c r="AC440" s="8">
        <f t="shared" si="51"/>
        <v>0</v>
      </c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>
        <v>37880060</v>
      </c>
      <c r="AZ440" s="8"/>
      <c r="BA440" s="8">
        <f>VLOOKUP(B440,[1]Hoja3!J$3:K$674,2,0)</f>
        <v>94236391</v>
      </c>
      <c r="BB440" s="8"/>
      <c r="BC440" s="8">
        <f t="shared" si="52"/>
        <v>132116451</v>
      </c>
      <c r="BD440" s="4">
        <v>37880060</v>
      </c>
      <c r="BE440" s="4">
        <f t="shared" si="53"/>
        <v>94236391</v>
      </c>
      <c r="BF440" s="30">
        <f t="shared" si="54"/>
        <v>132116451</v>
      </c>
      <c r="BG440" s="18">
        <f t="shared" si="55"/>
        <v>0</v>
      </c>
      <c r="BH440" s="23"/>
      <c r="BI440" s="23"/>
      <c r="BJ440" s="23"/>
    </row>
    <row r="441" spans="1:66" ht="15" customHeight="1" x14ac:dyDescent="0.2">
      <c r="A441" s="1">
        <v>8000112719</v>
      </c>
      <c r="B441" s="1">
        <v>800011271</v>
      </c>
      <c r="C441" s="15">
        <v>212425324</v>
      </c>
      <c r="D441" s="16" t="s">
        <v>497</v>
      </c>
      <c r="E441" s="41" t="s">
        <v>1524</v>
      </c>
      <c r="F441" s="28"/>
      <c r="G441" s="2"/>
      <c r="H441" s="3"/>
      <c r="I441" s="2"/>
      <c r="J441" s="29"/>
      <c r="K441" s="3"/>
      <c r="L441" s="2"/>
      <c r="M441" s="8"/>
      <c r="N441" s="3"/>
      <c r="O441" s="2"/>
      <c r="P441" s="3"/>
      <c r="Q441" s="2"/>
      <c r="R441" s="3"/>
      <c r="S441" s="3"/>
      <c r="T441" s="2"/>
      <c r="U441" s="8">
        <f t="shared" si="50"/>
        <v>0</v>
      </c>
      <c r="V441" s="8"/>
      <c r="W441" s="8"/>
      <c r="X441" s="8"/>
      <c r="Y441" s="8"/>
      <c r="Z441" s="8"/>
      <c r="AA441" s="8"/>
      <c r="AB441" s="8"/>
      <c r="AC441" s="8">
        <f t="shared" si="51"/>
        <v>0</v>
      </c>
      <c r="AD441" s="8"/>
      <c r="AE441" s="8"/>
      <c r="AF441" s="8"/>
      <c r="AG441" s="8"/>
      <c r="AH441" s="8"/>
      <c r="AI441" s="8"/>
      <c r="AJ441" s="8"/>
      <c r="AK441" s="8"/>
      <c r="AL441" s="8"/>
      <c r="AM441" s="8">
        <v>35723562</v>
      </c>
      <c r="AN441" s="8">
        <f>SUBTOTAL(9,AC441:AM441)</f>
        <v>35723562</v>
      </c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>
        <v>22988030</v>
      </c>
      <c r="AZ441" s="8"/>
      <c r="BA441" s="8"/>
      <c r="BB441" s="8"/>
      <c r="BC441" s="8">
        <f t="shared" si="52"/>
        <v>58711592</v>
      </c>
      <c r="BD441" s="4">
        <v>22988030</v>
      </c>
      <c r="BE441" s="4">
        <f t="shared" si="53"/>
        <v>35723562</v>
      </c>
      <c r="BF441" s="30">
        <f t="shared" si="54"/>
        <v>58711592</v>
      </c>
      <c r="BG441" s="18">
        <f t="shared" si="55"/>
        <v>0</v>
      </c>
      <c r="BH441" s="23"/>
      <c r="BI441" s="23"/>
      <c r="BJ441" s="23"/>
    </row>
    <row r="442" spans="1:66" ht="15" customHeight="1" x14ac:dyDescent="0.2">
      <c r="A442" s="1">
        <v>8999993953</v>
      </c>
      <c r="B442" s="1">
        <v>899999395</v>
      </c>
      <c r="C442" s="15">
        <v>212625326</v>
      </c>
      <c r="D442" s="16" t="s">
        <v>498</v>
      </c>
      <c r="E442" s="41" t="s">
        <v>1525</v>
      </c>
      <c r="F442" s="28"/>
      <c r="G442" s="2"/>
      <c r="H442" s="3"/>
      <c r="I442" s="2"/>
      <c r="J442" s="29"/>
      <c r="K442" s="3"/>
      <c r="L442" s="2"/>
      <c r="M442" s="8"/>
      <c r="N442" s="3"/>
      <c r="O442" s="2"/>
      <c r="P442" s="3"/>
      <c r="Q442" s="2"/>
      <c r="R442" s="3"/>
      <c r="S442" s="3"/>
      <c r="T442" s="2"/>
      <c r="U442" s="8">
        <f t="shared" si="50"/>
        <v>0</v>
      </c>
      <c r="V442" s="8"/>
      <c r="W442" s="8"/>
      <c r="X442" s="8"/>
      <c r="Y442" s="8"/>
      <c r="Z442" s="8"/>
      <c r="AA442" s="8"/>
      <c r="AB442" s="8"/>
      <c r="AC442" s="8">
        <f t="shared" si="51"/>
        <v>0</v>
      </c>
      <c r="AD442" s="8"/>
      <c r="AE442" s="8"/>
      <c r="AF442" s="8"/>
      <c r="AG442" s="8"/>
      <c r="AH442" s="8"/>
      <c r="AI442" s="8"/>
      <c r="AJ442" s="8"/>
      <c r="AK442" s="8"/>
      <c r="AL442" s="8"/>
      <c r="AM442" s="8">
        <v>92814492</v>
      </c>
      <c r="AN442" s="8">
        <f>SUBTOTAL(9,AC442:AM442)</f>
        <v>92814492</v>
      </c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>
        <f t="shared" si="52"/>
        <v>92814492</v>
      </c>
      <c r="BD442" s="4"/>
      <c r="BE442" s="4">
        <f t="shared" si="53"/>
        <v>92814492</v>
      </c>
      <c r="BF442" s="30">
        <f t="shared" si="54"/>
        <v>92814492</v>
      </c>
      <c r="BG442" s="18">
        <f t="shared" si="55"/>
        <v>0</v>
      </c>
      <c r="BH442" s="23"/>
      <c r="BI442" s="23"/>
      <c r="BJ442" s="23"/>
    </row>
    <row r="443" spans="1:66" ht="15" customHeight="1" x14ac:dyDescent="0.2">
      <c r="A443" s="1">
        <v>8000136839</v>
      </c>
      <c r="B443" s="1">
        <v>800013683</v>
      </c>
      <c r="C443" s="15">
        <v>212215322</v>
      </c>
      <c r="D443" s="16" t="s">
        <v>255</v>
      </c>
      <c r="E443" s="41" t="s">
        <v>1290</v>
      </c>
      <c r="F443" s="28"/>
      <c r="G443" s="17"/>
      <c r="H443" s="3"/>
      <c r="I443" s="2"/>
      <c r="J443" s="29"/>
      <c r="K443" s="3"/>
      <c r="L443" s="17"/>
      <c r="M443" s="34"/>
      <c r="N443" s="3"/>
      <c r="O443" s="17"/>
      <c r="P443" s="3"/>
      <c r="Q443" s="2"/>
      <c r="R443" s="3"/>
      <c r="S443" s="3"/>
      <c r="T443" s="17"/>
      <c r="U443" s="8">
        <f t="shared" si="50"/>
        <v>0</v>
      </c>
      <c r="V443" s="8"/>
      <c r="W443" s="8"/>
      <c r="X443" s="8"/>
      <c r="Y443" s="8"/>
      <c r="Z443" s="8"/>
      <c r="AA443" s="8"/>
      <c r="AB443" s="8"/>
      <c r="AC443" s="8">
        <f t="shared" si="51"/>
        <v>0</v>
      </c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>
        <v>70370145</v>
      </c>
      <c r="AZ443" s="8"/>
      <c r="BA443" s="8">
        <f>VLOOKUP(B443,[1]Hoja3!J$3:K$674,2,0)</f>
        <v>151290788</v>
      </c>
      <c r="BB443" s="8"/>
      <c r="BC443" s="8">
        <f t="shared" si="52"/>
        <v>221660933</v>
      </c>
      <c r="BD443" s="4">
        <v>70370145</v>
      </c>
      <c r="BE443" s="4">
        <f t="shared" si="53"/>
        <v>151290788</v>
      </c>
      <c r="BF443" s="30">
        <f t="shared" si="54"/>
        <v>221660933</v>
      </c>
      <c r="BG443" s="18">
        <f t="shared" si="55"/>
        <v>0</v>
      </c>
      <c r="BH443" s="23"/>
      <c r="BI443" s="14"/>
      <c r="BJ443" s="14"/>
      <c r="BK443" s="14"/>
      <c r="BL443" s="14"/>
      <c r="BM443" s="14"/>
      <c r="BN443" s="14"/>
    </row>
    <row r="444" spans="1:66" ht="15" customHeight="1" x14ac:dyDescent="0.2">
      <c r="A444" s="1">
        <v>8914800255</v>
      </c>
      <c r="B444" s="1">
        <v>891480025</v>
      </c>
      <c r="C444" s="15">
        <v>211866318</v>
      </c>
      <c r="D444" s="16" t="s">
        <v>803</v>
      </c>
      <c r="E444" s="41" t="s">
        <v>1821</v>
      </c>
      <c r="F444" s="28"/>
      <c r="G444" s="2"/>
      <c r="H444" s="3"/>
      <c r="I444" s="2"/>
      <c r="J444" s="29"/>
      <c r="K444" s="3"/>
      <c r="L444" s="2"/>
      <c r="M444" s="8"/>
      <c r="N444" s="3"/>
      <c r="O444" s="2"/>
      <c r="P444" s="3"/>
      <c r="Q444" s="2"/>
      <c r="R444" s="3"/>
      <c r="S444" s="3"/>
      <c r="T444" s="2"/>
      <c r="U444" s="8">
        <f t="shared" si="50"/>
        <v>0</v>
      </c>
      <c r="V444" s="8"/>
      <c r="W444" s="8"/>
      <c r="X444" s="8"/>
      <c r="Y444" s="8"/>
      <c r="Z444" s="8"/>
      <c r="AA444" s="8"/>
      <c r="AB444" s="8"/>
      <c r="AC444" s="8">
        <f t="shared" si="51"/>
        <v>0</v>
      </c>
      <c r="AD444" s="8"/>
      <c r="AE444" s="8"/>
      <c r="AF444" s="8"/>
      <c r="AG444" s="8"/>
      <c r="AH444" s="8"/>
      <c r="AI444" s="8"/>
      <c r="AJ444" s="8"/>
      <c r="AK444" s="8"/>
      <c r="AL444" s="8"/>
      <c r="AM444" s="8">
        <v>140745832</v>
      </c>
      <c r="AN444" s="8">
        <f>SUBTOTAL(9,AC444:AM444)</f>
        <v>140745832</v>
      </c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>
        <v>87168945</v>
      </c>
      <c r="AZ444" s="8"/>
      <c r="BA444" s="8">
        <f>VLOOKUP(B444,[1]Hoja3!J$3:K$674,2,0)</f>
        <v>52665492</v>
      </c>
      <c r="BB444" s="8"/>
      <c r="BC444" s="8">
        <f t="shared" si="52"/>
        <v>280580269</v>
      </c>
      <c r="BD444" s="4">
        <v>87168945</v>
      </c>
      <c r="BE444" s="4">
        <f t="shared" si="53"/>
        <v>193411324</v>
      </c>
      <c r="BF444" s="30">
        <f t="shared" si="54"/>
        <v>280580269</v>
      </c>
      <c r="BG444" s="18">
        <f t="shared" si="55"/>
        <v>0</v>
      </c>
      <c r="BH444" s="23"/>
      <c r="BI444" s="23"/>
      <c r="BJ444" s="23"/>
    </row>
    <row r="445" spans="1:66" ht="15" customHeight="1" x14ac:dyDescent="0.2">
      <c r="A445" s="1">
        <v>8902109455</v>
      </c>
      <c r="B445" s="1">
        <v>890210945</v>
      </c>
      <c r="C445" s="15">
        <v>212468324</v>
      </c>
      <c r="D445" s="16" t="s">
        <v>845</v>
      </c>
      <c r="E445" s="41" t="s">
        <v>1861</v>
      </c>
      <c r="F445" s="28"/>
      <c r="G445" s="2"/>
      <c r="H445" s="3"/>
      <c r="I445" s="2"/>
      <c r="J445" s="29"/>
      <c r="K445" s="3"/>
      <c r="L445" s="2"/>
      <c r="M445" s="8"/>
      <c r="N445" s="3"/>
      <c r="O445" s="2"/>
      <c r="P445" s="3"/>
      <c r="Q445" s="2"/>
      <c r="R445" s="3"/>
      <c r="S445" s="3"/>
      <c r="T445" s="2"/>
      <c r="U445" s="8">
        <f t="shared" si="50"/>
        <v>0</v>
      </c>
      <c r="V445" s="8"/>
      <c r="W445" s="8"/>
      <c r="X445" s="8"/>
      <c r="Y445" s="8"/>
      <c r="Z445" s="8"/>
      <c r="AA445" s="8"/>
      <c r="AB445" s="8"/>
      <c r="AC445" s="8">
        <f t="shared" si="51"/>
        <v>0</v>
      </c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>
        <v>24265970</v>
      </c>
      <c r="AZ445" s="8"/>
      <c r="BA445" s="8">
        <f>VLOOKUP(B445,[1]Hoja3!J$3:K$674,2,0)</f>
        <v>42845446</v>
      </c>
      <c r="BB445" s="8"/>
      <c r="BC445" s="8">
        <f t="shared" si="52"/>
        <v>67111416</v>
      </c>
      <c r="BD445" s="4">
        <v>24265970</v>
      </c>
      <c r="BE445" s="4">
        <f t="shared" si="53"/>
        <v>42845446</v>
      </c>
      <c r="BF445" s="30">
        <f t="shared" si="54"/>
        <v>67111416</v>
      </c>
      <c r="BG445" s="18">
        <f t="shared" si="55"/>
        <v>0</v>
      </c>
      <c r="BH445" s="23"/>
      <c r="BI445" s="23"/>
      <c r="BJ445" s="23"/>
    </row>
    <row r="446" spans="1:66" ht="15" customHeight="1" x14ac:dyDescent="0.2">
      <c r="A446" s="1">
        <v>8000946851</v>
      </c>
      <c r="B446" s="1">
        <v>800094685</v>
      </c>
      <c r="C446" s="15">
        <v>212825328</v>
      </c>
      <c r="D446" s="16" t="s">
        <v>499</v>
      </c>
      <c r="E446" s="41" t="s">
        <v>1526</v>
      </c>
      <c r="F446" s="28"/>
      <c r="G446" s="2"/>
      <c r="H446" s="3"/>
      <c r="I446" s="2"/>
      <c r="J446" s="29"/>
      <c r="K446" s="3"/>
      <c r="L446" s="2"/>
      <c r="M446" s="8"/>
      <c r="N446" s="3"/>
      <c r="O446" s="2"/>
      <c r="P446" s="3"/>
      <c r="Q446" s="2"/>
      <c r="R446" s="3"/>
      <c r="S446" s="3"/>
      <c r="T446" s="2"/>
      <c r="U446" s="8">
        <f t="shared" si="50"/>
        <v>0</v>
      </c>
      <c r="V446" s="8"/>
      <c r="W446" s="8"/>
      <c r="X446" s="8"/>
      <c r="Y446" s="8"/>
      <c r="Z446" s="8"/>
      <c r="AA446" s="8"/>
      <c r="AB446" s="8"/>
      <c r="AC446" s="8">
        <f t="shared" si="51"/>
        <v>0</v>
      </c>
      <c r="AD446" s="8"/>
      <c r="AE446" s="8"/>
      <c r="AF446" s="8"/>
      <c r="AG446" s="8"/>
      <c r="AH446" s="8"/>
      <c r="AI446" s="8"/>
      <c r="AJ446" s="8"/>
      <c r="AK446" s="8"/>
      <c r="AL446" s="8"/>
      <c r="AM446" s="8">
        <v>56055657</v>
      </c>
      <c r="AN446" s="8">
        <f>SUBTOTAL(9,AC446:AM446)</f>
        <v>56055657</v>
      </c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>
        <f t="shared" si="52"/>
        <v>56055657</v>
      </c>
      <c r="BD446" s="4"/>
      <c r="BE446" s="4">
        <f t="shared" si="53"/>
        <v>56055657</v>
      </c>
      <c r="BF446" s="30">
        <f t="shared" si="54"/>
        <v>56055657</v>
      </c>
      <c r="BG446" s="18">
        <f t="shared" si="55"/>
        <v>0</v>
      </c>
      <c r="BH446" s="23"/>
      <c r="BI446" s="23"/>
      <c r="BJ446" s="23"/>
    </row>
    <row r="447" spans="1:66" ht="15" customHeight="1" x14ac:dyDescent="0.2">
      <c r="A447" s="1">
        <v>8907009820</v>
      </c>
      <c r="B447" s="1">
        <v>890700982</v>
      </c>
      <c r="C447" s="15">
        <v>215573055</v>
      </c>
      <c r="D447" s="16" t="s">
        <v>2222</v>
      </c>
      <c r="E447" s="41" t="s">
        <v>1933</v>
      </c>
      <c r="F447" s="28"/>
      <c r="G447" s="2"/>
      <c r="H447" s="3"/>
      <c r="I447" s="2"/>
      <c r="J447" s="29"/>
      <c r="K447" s="3"/>
      <c r="L447" s="2"/>
      <c r="M447" s="8"/>
      <c r="N447" s="3"/>
      <c r="O447" s="2"/>
      <c r="P447" s="3"/>
      <c r="Q447" s="2"/>
      <c r="R447" s="3"/>
      <c r="S447" s="3"/>
      <c r="T447" s="2"/>
      <c r="U447" s="8">
        <f t="shared" si="50"/>
        <v>0</v>
      </c>
      <c r="V447" s="8"/>
      <c r="W447" s="8"/>
      <c r="X447" s="8"/>
      <c r="Y447" s="8"/>
      <c r="Z447" s="8"/>
      <c r="AA447" s="8"/>
      <c r="AB447" s="8"/>
      <c r="AC447" s="8">
        <f t="shared" si="51"/>
        <v>0</v>
      </c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>
        <v>95809970</v>
      </c>
      <c r="AZ447" s="8"/>
      <c r="BA447" s="8">
        <f>VLOOKUP(B447,[1]Hoja3!J$3:K$674,2,0)</f>
        <v>177721282</v>
      </c>
      <c r="BB447" s="8"/>
      <c r="BC447" s="8">
        <f t="shared" si="52"/>
        <v>273531252</v>
      </c>
      <c r="BD447" s="4">
        <v>95809970</v>
      </c>
      <c r="BE447" s="4">
        <f t="shared" si="53"/>
        <v>177721282</v>
      </c>
      <c r="BF447" s="30">
        <f t="shared" si="54"/>
        <v>273531252</v>
      </c>
      <c r="BG447" s="18">
        <f t="shared" si="55"/>
        <v>0</v>
      </c>
      <c r="BH447" s="23"/>
      <c r="BI447" s="23"/>
      <c r="BJ447" s="23"/>
    </row>
    <row r="448" spans="1:66" ht="15" customHeight="1" x14ac:dyDescent="0.2">
      <c r="A448" s="1">
        <v>8000947011</v>
      </c>
      <c r="B448" s="1">
        <v>800094701</v>
      </c>
      <c r="C448" s="15">
        <v>213525335</v>
      </c>
      <c r="D448" s="16" t="s">
        <v>500</v>
      </c>
      <c r="E448" s="41" t="s">
        <v>1527</v>
      </c>
      <c r="F448" s="28"/>
      <c r="G448" s="2"/>
      <c r="H448" s="3"/>
      <c r="I448" s="2"/>
      <c r="J448" s="29"/>
      <c r="K448" s="3"/>
      <c r="L448" s="2"/>
      <c r="M448" s="8"/>
      <c r="N448" s="3"/>
      <c r="O448" s="2"/>
      <c r="P448" s="3"/>
      <c r="Q448" s="2"/>
      <c r="R448" s="3"/>
      <c r="S448" s="3"/>
      <c r="T448" s="2"/>
      <c r="U448" s="8">
        <f t="shared" si="50"/>
        <v>0</v>
      </c>
      <c r="V448" s="8"/>
      <c r="W448" s="8"/>
      <c r="X448" s="8"/>
      <c r="Y448" s="8"/>
      <c r="Z448" s="8"/>
      <c r="AA448" s="8"/>
      <c r="AB448" s="8"/>
      <c r="AC448" s="8">
        <f t="shared" si="51"/>
        <v>0</v>
      </c>
      <c r="AD448" s="8"/>
      <c r="AE448" s="8"/>
      <c r="AF448" s="8"/>
      <c r="AG448" s="8"/>
      <c r="AH448" s="8"/>
      <c r="AI448" s="8"/>
      <c r="AJ448" s="8"/>
      <c r="AK448" s="8"/>
      <c r="AL448" s="8"/>
      <c r="AM448" s="8">
        <v>108205664</v>
      </c>
      <c r="AN448" s="8">
        <f>SUBTOTAL(9,AC448:AM448)</f>
        <v>108205664</v>
      </c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>
        <v>37190650</v>
      </c>
      <c r="AZ448" s="8"/>
      <c r="BA448" s="8"/>
      <c r="BB448" s="8"/>
      <c r="BC448" s="8">
        <f t="shared" si="52"/>
        <v>145396314</v>
      </c>
      <c r="BD448" s="4">
        <v>37190650</v>
      </c>
      <c r="BE448" s="4">
        <f t="shared" si="53"/>
        <v>108205664</v>
      </c>
      <c r="BF448" s="30">
        <f t="shared" si="54"/>
        <v>145396314</v>
      </c>
      <c r="BG448" s="18">
        <f t="shared" si="55"/>
        <v>0</v>
      </c>
      <c r="BH448" s="23"/>
      <c r="BI448" s="23"/>
      <c r="BJ448" s="23"/>
    </row>
    <row r="449" spans="1:66" ht="15" customHeight="1" x14ac:dyDescent="0.2">
      <c r="A449" s="1">
        <v>8918008968</v>
      </c>
      <c r="B449" s="1">
        <v>891800896</v>
      </c>
      <c r="C449" s="15">
        <v>212515325</v>
      </c>
      <c r="D449" s="16" t="s">
        <v>256</v>
      </c>
      <c r="E449" s="41" t="s">
        <v>1291</v>
      </c>
      <c r="F449" s="28"/>
      <c r="G449" s="17"/>
      <c r="H449" s="3"/>
      <c r="I449" s="2"/>
      <c r="J449" s="29"/>
      <c r="K449" s="3"/>
      <c r="L449" s="17"/>
      <c r="M449" s="34"/>
      <c r="N449" s="3"/>
      <c r="O449" s="17"/>
      <c r="P449" s="3"/>
      <c r="Q449" s="2"/>
      <c r="R449" s="3"/>
      <c r="S449" s="3"/>
      <c r="T449" s="17"/>
      <c r="U449" s="8">
        <f t="shared" si="50"/>
        <v>0</v>
      </c>
      <c r="V449" s="8"/>
      <c r="W449" s="8"/>
      <c r="X449" s="8"/>
      <c r="Y449" s="8"/>
      <c r="Z449" s="8"/>
      <c r="AA449" s="8"/>
      <c r="AB449" s="8"/>
      <c r="AC449" s="8">
        <f t="shared" si="51"/>
        <v>0</v>
      </c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>
        <v>24410300</v>
      </c>
      <c r="AZ449" s="8"/>
      <c r="BA449" s="8">
        <f>VLOOKUP(B449,[1]Hoja3!J$3:K$674,2,0)</f>
        <v>43304262</v>
      </c>
      <c r="BB449" s="8"/>
      <c r="BC449" s="8">
        <f t="shared" si="52"/>
        <v>67714562</v>
      </c>
      <c r="BD449" s="4">
        <v>24410300</v>
      </c>
      <c r="BE449" s="4">
        <f t="shared" si="53"/>
        <v>43304262</v>
      </c>
      <c r="BF449" s="30">
        <f t="shared" si="54"/>
        <v>67714562</v>
      </c>
      <c r="BG449" s="18">
        <f t="shared" si="55"/>
        <v>0</v>
      </c>
      <c r="BH449" s="23"/>
      <c r="BI449" s="14"/>
      <c r="BJ449" s="14"/>
      <c r="BK449" s="14"/>
      <c r="BL449" s="14"/>
      <c r="BM449" s="14"/>
      <c r="BN449" s="14"/>
    </row>
    <row r="450" spans="1:66" ht="15" customHeight="1" x14ac:dyDescent="0.2">
      <c r="A450" s="1">
        <v>8902077901</v>
      </c>
      <c r="B450" s="1">
        <v>890207790</v>
      </c>
      <c r="C450" s="15">
        <v>212768327</v>
      </c>
      <c r="D450" s="16" t="s">
        <v>846</v>
      </c>
      <c r="E450" s="41" t="s">
        <v>1862</v>
      </c>
      <c r="F450" s="28"/>
      <c r="G450" s="2"/>
      <c r="H450" s="3"/>
      <c r="I450" s="2"/>
      <c r="J450" s="29"/>
      <c r="K450" s="3"/>
      <c r="L450" s="2"/>
      <c r="M450" s="8"/>
      <c r="N450" s="3"/>
      <c r="O450" s="2"/>
      <c r="P450" s="3"/>
      <c r="Q450" s="2"/>
      <c r="R450" s="3"/>
      <c r="S450" s="3"/>
      <c r="T450" s="2"/>
      <c r="U450" s="8">
        <f t="shared" si="50"/>
        <v>0</v>
      </c>
      <c r="V450" s="8"/>
      <c r="W450" s="8"/>
      <c r="X450" s="8"/>
      <c r="Y450" s="8"/>
      <c r="Z450" s="8"/>
      <c r="AA450" s="8"/>
      <c r="AB450" s="8"/>
      <c r="AC450" s="8">
        <f t="shared" si="51"/>
        <v>0</v>
      </c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>
        <v>29152920</v>
      </c>
      <c r="AZ450" s="8"/>
      <c r="BA450" s="8">
        <f>VLOOKUP(B450,[1]Hoja3!J$3:K$674,2,0)</f>
        <v>60866335</v>
      </c>
      <c r="BB450" s="8"/>
      <c r="BC450" s="8">
        <f t="shared" si="52"/>
        <v>90019255</v>
      </c>
      <c r="BD450" s="4">
        <v>29152920</v>
      </c>
      <c r="BE450" s="4">
        <f t="shared" si="53"/>
        <v>60866335</v>
      </c>
      <c r="BF450" s="30">
        <f t="shared" si="54"/>
        <v>90019255</v>
      </c>
      <c r="BG450" s="18">
        <f t="shared" si="55"/>
        <v>0</v>
      </c>
      <c r="BH450" s="23"/>
      <c r="BI450" s="23"/>
      <c r="BJ450" s="23"/>
    </row>
    <row r="451" spans="1:66" ht="15" customHeight="1" x14ac:dyDescent="0.2">
      <c r="A451" s="1">
        <v>8000992029</v>
      </c>
      <c r="B451" s="1">
        <v>800099202</v>
      </c>
      <c r="C451" s="15">
        <v>213215332</v>
      </c>
      <c r="D451" s="16" t="s">
        <v>257</v>
      </c>
      <c r="E451" s="41" t="s">
        <v>1292</v>
      </c>
      <c r="F451" s="28"/>
      <c r="G451" s="17"/>
      <c r="H451" s="3"/>
      <c r="I451" s="2"/>
      <c r="J451" s="29"/>
      <c r="K451" s="3"/>
      <c r="L451" s="17"/>
      <c r="M451" s="34"/>
      <c r="N451" s="3"/>
      <c r="O451" s="17"/>
      <c r="P451" s="3"/>
      <c r="Q451" s="2"/>
      <c r="R451" s="3"/>
      <c r="S451" s="3"/>
      <c r="T451" s="17"/>
      <c r="U451" s="8">
        <f t="shared" ref="U451:U514" si="59">SUM(M451:T451)</f>
        <v>0</v>
      </c>
      <c r="V451" s="8"/>
      <c r="W451" s="8"/>
      <c r="X451" s="8"/>
      <c r="Y451" s="8"/>
      <c r="Z451" s="8"/>
      <c r="AA451" s="8"/>
      <c r="AB451" s="8"/>
      <c r="AC451" s="8">
        <f t="shared" si="51"/>
        <v>0</v>
      </c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>
        <v>36835440</v>
      </c>
      <c r="AZ451" s="8"/>
      <c r="BA451" s="8">
        <f>VLOOKUP(B451,[1]Hoja3!J$3:K$674,2,0)</f>
        <v>52912807</v>
      </c>
      <c r="BB451" s="8"/>
      <c r="BC451" s="8">
        <f t="shared" si="52"/>
        <v>89748247</v>
      </c>
      <c r="BD451" s="4">
        <v>36835440</v>
      </c>
      <c r="BE451" s="4">
        <f t="shared" si="53"/>
        <v>52912807</v>
      </c>
      <c r="BF451" s="30">
        <f t="shared" si="54"/>
        <v>89748247</v>
      </c>
      <c r="BG451" s="18">
        <f t="shared" si="55"/>
        <v>0</v>
      </c>
      <c r="BH451" s="23"/>
      <c r="BI451" s="14"/>
      <c r="BJ451" s="14"/>
      <c r="BK451" s="14"/>
      <c r="BL451" s="14"/>
      <c r="BM451" s="14"/>
      <c r="BN451" s="14"/>
    </row>
    <row r="452" spans="1:66" ht="15" customHeight="1" x14ac:dyDescent="0.2">
      <c r="A452" s="1">
        <v>8000947041</v>
      </c>
      <c r="B452" s="1">
        <v>800094704</v>
      </c>
      <c r="C452" s="15">
        <v>213925339</v>
      </c>
      <c r="D452" s="16" t="s">
        <v>501</v>
      </c>
      <c r="E452" s="41" t="s">
        <v>1528</v>
      </c>
      <c r="F452" s="28"/>
      <c r="G452" s="2"/>
      <c r="H452" s="3"/>
      <c r="I452" s="2"/>
      <c r="J452" s="29"/>
      <c r="K452" s="3"/>
      <c r="L452" s="2"/>
      <c r="M452" s="8"/>
      <c r="N452" s="3"/>
      <c r="O452" s="2"/>
      <c r="P452" s="3"/>
      <c r="Q452" s="2"/>
      <c r="R452" s="3"/>
      <c r="S452" s="3"/>
      <c r="T452" s="2"/>
      <c r="U452" s="8">
        <f t="shared" si="59"/>
        <v>0</v>
      </c>
      <c r="V452" s="8"/>
      <c r="W452" s="8"/>
      <c r="X452" s="8"/>
      <c r="Y452" s="8"/>
      <c r="Z452" s="8"/>
      <c r="AA452" s="8"/>
      <c r="AB452" s="8"/>
      <c r="AC452" s="8">
        <f t="shared" ref="AC452:AC515" si="60">SUM(U452:AB452)</f>
        <v>0</v>
      </c>
      <c r="AD452" s="8"/>
      <c r="AE452" s="8"/>
      <c r="AF452" s="8"/>
      <c r="AG452" s="8"/>
      <c r="AH452" s="8"/>
      <c r="AI452" s="8"/>
      <c r="AJ452" s="8"/>
      <c r="AK452" s="8"/>
      <c r="AL452" s="8"/>
      <c r="AM452" s="8">
        <v>50323292</v>
      </c>
      <c r="AN452" s="8">
        <f>SUBTOTAL(9,AC452:AM452)</f>
        <v>50323292</v>
      </c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>
        <v>29918155</v>
      </c>
      <c r="AZ452" s="8"/>
      <c r="BA452" s="8"/>
      <c r="BB452" s="8"/>
      <c r="BC452" s="8">
        <f t="shared" ref="BC452:BC515" si="61">SUM(AN452:BA452)-BB452</f>
        <v>80241447</v>
      </c>
      <c r="BD452" s="4">
        <v>29918155</v>
      </c>
      <c r="BE452" s="4">
        <f t="shared" ref="BE452:BE515" si="62">+AM452+BA452-BB452</f>
        <v>50323292</v>
      </c>
      <c r="BF452" s="30">
        <f t="shared" ref="BF452:BF515" si="63">+BD452+BE452</f>
        <v>80241447</v>
      </c>
      <c r="BG452" s="18">
        <f t="shared" ref="BG452:BG515" si="64">+BC452-BF452</f>
        <v>0</v>
      </c>
      <c r="BH452" s="23"/>
      <c r="BI452" s="23"/>
      <c r="BJ452" s="23"/>
    </row>
    <row r="453" spans="1:66" ht="15" customHeight="1" x14ac:dyDescent="0.2">
      <c r="A453" s="1">
        <v>8000992416</v>
      </c>
      <c r="B453" s="1">
        <v>800099241</v>
      </c>
      <c r="C453" s="15">
        <v>214454344</v>
      </c>
      <c r="D453" s="16" t="s">
        <v>766</v>
      </c>
      <c r="E453" s="41" t="s">
        <v>1785</v>
      </c>
      <c r="F453" s="28"/>
      <c r="G453" s="2"/>
      <c r="H453" s="3"/>
      <c r="I453" s="2"/>
      <c r="J453" s="29"/>
      <c r="K453" s="3"/>
      <c r="L453" s="2"/>
      <c r="M453" s="8"/>
      <c r="N453" s="3"/>
      <c r="O453" s="2"/>
      <c r="P453" s="3"/>
      <c r="Q453" s="2"/>
      <c r="R453" s="3"/>
      <c r="S453" s="3"/>
      <c r="T453" s="2"/>
      <c r="U453" s="8">
        <f t="shared" si="59"/>
        <v>0</v>
      </c>
      <c r="V453" s="8"/>
      <c r="W453" s="8"/>
      <c r="X453" s="8"/>
      <c r="Y453" s="8"/>
      <c r="Z453" s="8"/>
      <c r="AA453" s="8"/>
      <c r="AB453" s="8"/>
      <c r="AC453" s="8">
        <f t="shared" si="60"/>
        <v>0</v>
      </c>
      <c r="AD453" s="8"/>
      <c r="AE453" s="8"/>
      <c r="AF453" s="8"/>
      <c r="AG453" s="8"/>
      <c r="AH453" s="8"/>
      <c r="AI453" s="8"/>
      <c r="AJ453" s="8"/>
      <c r="AK453" s="8"/>
      <c r="AL453" s="8"/>
      <c r="AM453" s="8">
        <v>50628186</v>
      </c>
      <c r="AN453" s="8">
        <f>SUBTOTAL(9,AC453:AM453)</f>
        <v>50628186</v>
      </c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>
        <v>136689600</v>
      </c>
      <c r="AZ453" s="8"/>
      <c r="BA453" s="8"/>
      <c r="BB453" s="8"/>
      <c r="BC453" s="8">
        <f t="shared" si="61"/>
        <v>187317786</v>
      </c>
      <c r="BD453" s="4">
        <v>136689600</v>
      </c>
      <c r="BE453" s="4">
        <f t="shared" si="62"/>
        <v>50628186</v>
      </c>
      <c r="BF453" s="30">
        <f t="shared" si="63"/>
        <v>187317786</v>
      </c>
      <c r="BG453" s="18">
        <f t="shared" si="64"/>
        <v>0</v>
      </c>
      <c r="BH453" s="23"/>
      <c r="BI453" s="23"/>
      <c r="BJ453" s="23"/>
    </row>
    <row r="454" spans="1:66" ht="15" customHeight="1" x14ac:dyDescent="0.2">
      <c r="A454" s="1">
        <v>8002552146</v>
      </c>
      <c r="B454" s="1">
        <v>800255214</v>
      </c>
      <c r="C454" s="15">
        <v>210013300</v>
      </c>
      <c r="D454" s="16" t="s">
        <v>193</v>
      </c>
      <c r="E454" s="41" t="s">
        <v>1224</v>
      </c>
      <c r="F454" s="28"/>
      <c r="G454" s="17"/>
      <c r="H454" s="3"/>
      <c r="I454" s="2"/>
      <c r="J454" s="29"/>
      <c r="K454" s="3"/>
      <c r="L454" s="17"/>
      <c r="M454" s="34"/>
      <c r="N454" s="3"/>
      <c r="O454" s="17"/>
      <c r="P454" s="3"/>
      <c r="Q454" s="2"/>
      <c r="R454" s="3"/>
      <c r="S454" s="3"/>
      <c r="T454" s="17"/>
      <c r="U454" s="8">
        <f t="shared" si="59"/>
        <v>0</v>
      </c>
      <c r="V454" s="8"/>
      <c r="W454" s="8"/>
      <c r="X454" s="8"/>
      <c r="Y454" s="8"/>
      <c r="Z454" s="8"/>
      <c r="AA454" s="8"/>
      <c r="AB454" s="8"/>
      <c r="AC454" s="8">
        <f t="shared" si="60"/>
        <v>0</v>
      </c>
      <c r="AD454" s="8"/>
      <c r="AE454" s="8"/>
      <c r="AF454" s="8"/>
      <c r="AG454" s="8"/>
      <c r="AH454" s="8"/>
      <c r="AI454" s="8"/>
      <c r="AJ454" s="8"/>
      <c r="AK454" s="8"/>
      <c r="AL454" s="8"/>
      <c r="AM454" s="8">
        <v>209299761</v>
      </c>
      <c r="AN454" s="8">
        <f>SUBTOTAL(9,AC454:AM454)</f>
        <v>209299761</v>
      </c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>
        <v>163528995</v>
      </c>
      <c r="AZ454" s="8"/>
      <c r="BA454" s="8">
        <f>VLOOKUP(B454,[1]Hoja3!J$3:K$674,2,0)</f>
        <v>60101071</v>
      </c>
      <c r="BB454" s="8"/>
      <c r="BC454" s="8">
        <f t="shared" si="61"/>
        <v>432929827</v>
      </c>
      <c r="BD454" s="4">
        <v>163528995</v>
      </c>
      <c r="BE454" s="4">
        <f t="shared" si="62"/>
        <v>269400832</v>
      </c>
      <c r="BF454" s="30">
        <f t="shared" si="63"/>
        <v>432929827</v>
      </c>
      <c r="BG454" s="18">
        <f t="shared" si="64"/>
        <v>0</v>
      </c>
      <c r="BH454" s="23"/>
      <c r="BI454" s="14"/>
      <c r="BJ454" s="14"/>
      <c r="BK454" s="14"/>
      <c r="BL454" s="14"/>
      <c r="BM454" s="14"/>
      <c r="BN454" s="14"/>
    </row>
    <row r="455" spans="1:66" ht="15" customHeight="1" x14ac:dyDescent="0.2">
      <c r="A455" s="1">
        <v>8000126382</v>
      </c>
      <c r="B455" s="1">
        <v>800012638</v>
      </c>
      <c r="C455" s="15">
        <v>212585125</v>
      </c>
      <c r="D455" s="16" t="s">
        <v>958</v>
      </c>
      <c r="E455" s="41" t="s">
        <v>2019</v>
      </c>
      <c r="F455" s="28"/>
      <c r="G455" s="2"/>
      <c r="H455" s="3"/>
      <c r="I455" s="2"/>
      <c r="J455" s="29"/>
      <c r="K455" s="3"/>
      <c r="L455" s="2"/>
      <c r="M455" s="8"/>
      <c r="N455" s="3"/>
      <c r="O455" s="2"/>
      <c r="P455" s="3"/>
      <c r="Q455" s="2"/>
      <c r="R455" s="3"/>
      <c r="S455" s="3"/>
      <c r="T455" s="2"/>
      <c r="U455" s="8">
        <f t="shared" si="59"/>
        <v>0</v>
      </c>
      <c r="V455" s="8"/>
      <c r="W455" s="8"/>
      <c r="X455" s="8"/>
      <c r="Y455" s="8"/>
      <c r="Z455" s="8"/>
      <c r="AA455" s="8"/>
      <c r="AB455" s="8"/>
      <c r="AC455" s="8">
        <f t="shared" si="60"/>
        <v>0</v>
      </c>
      <c r="AD455" s="8"/>
      <c r="AE455" s="8"/>
      <c r="AF455" s="8"/>
      <c r="AG455" s="8"/>
      <c r="AH455" s="8"/>
      <c r="AI455" s="8"/>
      <c r="AJ455" s="8"/>
      <c r="AK455" s="8"/>
      <c r="AL455" s="8"/>
      <c r="AM455" s="8">
        <v>245867149</v>
      </c>
      <c r="AN455" s="8">
        <f>SUBTOTAL(9,AC455:AM455)</f>
        <v>245867149</v>
      </c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>
        <v>130814150</v>
      </c>
      <c r="AZ455" s="8"/>
      <c r="BA455" s="8">
        <f>VLOOKUP(B455,[1]Hoja3!J$3:K$674,2,0)</f>
        <v>29807923</v>
      </c>
      <c r="BB455" s="8"/>
      <c r="BC455" s="8">
        <f t="shared" si="61"/>
        <v>406489222</v>
      </c>
      <c r="BD455" s="4">
        <v>130814150</v>
      </c>
      <c r="BE455" s="4">
        <f t="shared" si="62"/>
        <v>275675072</v>
      </c>
      <c r="BF455" s="30">
        <f t="shared" si="63"/>
        <v>406489222</v>
      </c>
      <c r="BG455" s="18">
        <f t="shared" si="64"/>
        <v>0</v>
      </c>
      <c r="BH455" s="23"/>
      <c r="BI455" s="23"/>
      <c r="BJ455" s="23"/>
    </row>
    <row r="456" spans="1:66" ht="15" customHeight="1" x14ac:dyDescent="0.2">
      <c r="A456" s="1">
        <v>8002551012</v>
      </c>
      <c r="B456" s="1">
        <v>800255101</v>
      </c>
      <c r="C456" s="15">
        <v>217844378</v>
      </c>
      <c r="D456" s="16" t="s">
        <v>636</v>
      </c>
      <c r="E456" s="41" t="s">
        <v>2091</v>
      </c>
      <c r="F456" s="28"/>
      <c r="G456" s="2"/>
      <c r="H456" s="3"/>
      <c r="I456" s="2"/>
      <c r="J456" s="29"/>
      <c r="K456" s="3"/>
      <c r="L456" s="2"/>
      <c r="M456" s="8"/>
      <c r="N456" s="3"/>
      <c r="O456" s="2"/>
      <c r="P456" s="3"/>
      <c r="Q456" s="2"/>
      <c r="R456" s="3"/>
      <c r="S456" s="3"/>
      <c r="T456" s="2"/>
      <c r="U456" s="8">
        <f t="shared" si="59"/>
        <v>0</v>
      </c>
      <c r="V456" s="8"/>
      <c r="W456" s="8"/>
      <c r="X456" s="8"/>
      <c r="Y456" s="8"/>
      <c r="Z456" s="8"/>
      <c r="AA456" s="8"/>
      <c r="AB456" s="8"/>
      <c r="AC456" s="8">
        <f t="shared" si="60"/>
        <v>0</v>
      </c>
      <c r="AD456" s="8"/>
      <c r="AE456" s="8"/>
      <c r="AF456" s="8"/>
      <c r="AG456" s="8"/>
      <c r="AH456" s="8"/>
      <c r="AI456" s="8"/>
      <c r="AJ456" s="8"/>
      <c r="AK456" s="8"/>
      <c r="AL456" s="8"/>
      <c r="AM456" s="8">
        <v>168582101</v>
      </c>
      <c r="AN456" s="8">
        <f>SUBTOTAL(9,AC456:AM456)</f>
        <v>168582101</v>
      </c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>
        <v>156759870</v>
      </c>
      <c r="AZ456" s="8"/>
      <c r="BA456" s="8"/>
      <c r="BB456" s="8"/>
      <c r="BC456" s="8">
        <f t="shared" si="61"/>
        <v>325341971</v>
      </c>
      <c r="BD456" s="4">
        <v>156759870</v>
      </c>
      <c r="BE456" s="4">
        <f t="shared" si="62"/>
        <v>168582101</v>
      </c>
      <c r="BF456" s="30">
        <f t="shared" si="63"/>
        <v>325341971</v>
      </c>
      <c r="BG456" s="18">
        <f t="shared" si="64"/>
        <v>0</v>
      </c>
      <c r="BH456" s="23"/>
      <c r="BI456" s="23"/>
      <c r="BJ456" s="23"/>
    </row>
    <row r="457" spans="1:66" ht="15" customHeight="1" x14ac:dyDescent="0.2">
      <c r="A457" s="1">
        <v>8902104382</v>
      </c>
      <c r="B457" s="1">
        <v>890210438</v>
      </c>
      <c r="C457" s="15">
        <v>214468344</v>
      </c>
      <c r="D457" s="16" t="s">
        <v>847</v>
      </c>
      <c r="E457" s="41" t="s">
        <v>1863</v>
      </c>
      <c r="F457" s="28"/>
      <c r="G457" s="2"/>
      <c r="H457" s="3"/>
      <c r="I457" s="2"/>
      <c r="J457" s="29"/>
      <c r="K457" s="3"/>
      <c r="L457" s="2"/>
      <c r="M457" s="8"/>
      <c r="N457" s="3"/>
      <c r="O457" s="2"/>
      <c r="P457" s="3"/>
      <c r="Q457" s="2"/>
      <c r="R457" s="3"/>
      <c r="S457" s="3"/>
      <c r="T457" s="2"/>
      <c r="U457" s="8">
        <f t="shared" si="59"/>
        <v>0</v>
      </c>
      <c r="V457" s="8"/>
      <c r="W457" s="8"/>
      <c r="X457" s="8"/>
      <c r="Y457" s="8"/>
      <c r="Z457" s="8"/>
      <c r="AA457" s="8"/>
      <c r="AB457" s="8"/>
      <c r="AC457" s="8">
        <f t="shared" si="60"/>
        <v>0</v>
      </c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>
        <v>14915625</v>
      </c>
      <c r="AZ457" s="8"/>
      <c r="BA457" s="8">
        <f>VLOOKUP(B457,[1]Hoja3!J$3:K$674,2,0)</f>
        <v>35685099</v>
      </c>
      <c r="BB457" s="8"/>
      <c r="BC457" s="8">
        <f t="shared" si="61"/>
        <v>50600724</v>
      </c>
      <c r="BD457" s="4">
        <v>14915625</v>
      </c>
      <c r="BE457" s="4">
        <f t="shared" si="62"/>
        <v>35685099</v>
      </c>
      <c r="BF457" s="30">
        <f t="shared" si="63"/>
        <v>50600724</v>
      </c>
      <c r="BG457" s="18">
        <f t="shared" si="64"/>
        <v>0</v>
      </c>
      <c r="BH457" s="23"/>
      <c r="BI457" s="23"/>
      <c r="BJ457" s="23"/>
    </row>
    <row r="458" spans="1:66" ht="15" customHeight="1" x14ac:dyDescent="0.2">
      <c r="A458" s="1">
        <v>8909824947</v>
      </c>
      <c r="B458" s="1">
        <v>890982494</v>
      </c>
      <c r="C458" s="15">
        <v>214705347</v>
      </c>
      <c r="D458" s="16" t="s">
        <v>96</v>
      </c>
      <c r="E458" s="41" t="s">
        <v>1127</v>
      </c>
      <c r="F458" s="28"/>
      <c r="G458" s="2"/>
      <c r="H458" s="3"/>
      <c r="I458" s="2"/>
      <c r="J458" s="29"/>
      <c r="K458" s="3"/>
      <c r="L458" s="2"/>
      <c r="M458" s="8"/>
      <c r="N458" s="3"/>
      <c r="O458" s="2"/>
      <c r="P458" s="3"/>
      <c r="Q458" s="2"/>
      <c r="R458" s="3"/>
      <c r="S458" s="3"/>
      <c r="T458" s="2"/>
      <c r="U458" s="8">
        <f t="shared" si="59"/>
        <v>0</v>
      </c>
      <c r="V458" s="8"/>
      <c r="W458" s="8"/>
      <c r="X458" s="8"/>
      <c r="Y458" s="8"/>
      <c r="Z458" s="8"/>
      <c r="AA458" s="8"/>
      <c r="AB458" s="8"/>
      <c r="AC458" s="8">
        <f t="shared" si="60"/>
        <v>0</v>
      </c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>
        <v>32069715</v>
      </c>
      <c r="AZ458" s="8"/>
      <c r="BA458" s="8">
        <f>VLOOKUP(B458,[1]Hoja3!J$3:K$674,2,0)</f>
        <v>74707749</v>
      </c>
      <c r="BB458" s="8"/>
      <c r="BC458" s="8">
        <f t="shared" si="61"/>
        <v>106777464</v>
      </c>
      <c r="BD458" s="4">
        <v>32069715</v>
      </c>
      <c r="BE458" s="4">
        <f t="shared" si="62"/>
        <v>74707749</v>
      </c>
      <c r="BF458" s="30">
        <f t="shared" si="63"/>
        <v>106777464</v>
      </c>
      <c r="BG458" s="18">
        <f t="shared" si="64"/>
        <v>0</v>
      </c>
      <c r="BH458" s="23"/>
      <c r="BI458" s="23"/>
      <c r="BJ458" s="23"/>
    </row>
    <row r="459" spans="1:66" ht="15" customHeight="1" x14ac:dyDescent="0.2">
      <c r="A459" s="1">
        <v>8000052929</v>
      </c>
      <c r="B459" s="1">
        <v>800005292</v>
      </c>
      <c r="C459" s="15">
        <v>214754347</v>
      </c>
      <c r="D459" s="16" t="s">
        <v>767</v>
      </c>
      <c r="E459" s="41" t="s">
        <v>1786</v>
      </c>
      <c r="F459" s="28"/>
      <c r="G459" s="2"/>
      <c r="H459" s="3"/>
      <c r="I459" s="2"/>
      <c r="J459" s="29"/>
      <c r="K459" s="3"/>
      <c r="L459" s="2"/>
      <c r="M459" s="8"/>
      <c r="N459" s="3"/>
      <c r="O459" s="2"/>
      <c r="P459" s="3"/>
      <c r="Q459" s="2"/>
      <c r="R459" s="3"/>
      <c r="S459" s="3"/>
      <c r="T459" s="2"/>
      <c r="U459" s="8">
        <f t="shared" si="59"/>
        <v>0</v>
      </c>
      <c r="V459" s="8"/>
      <c r="W459" s="8"/>
      <c r="X459" s="8"/>
      <c r="Y459" s="8"/>
      <c r="Z459" s="8"/>
      <c r="AA459" s="8"/>
      <c r="AB459" s="8"/>
      <c r="AC459" s="8">
        <f t="shared" si="60"/>
        <v>0</v>
      </c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>
        <v>16146550</v>
      </c>
      <c r="AZ459" s="8"/>
      <c r="BA459" s="8">
        <f>VLOOKUP(B459,[1]Hoja3!J$3:K$674,2,0)</f>
        <v>32881269</v>
      </c>
      <c r="BB459" s="8"/>
      <c r="BC459" s="8">
        <f t="shared" si="61"/>
        <v>49027819</v>
      </c>
      <c r="BD459" s="4">
        <v>16146550</v>
      </c>
      <c r="BE459" s="4">
        <f t="shared" si="62"/>
        <v>32881269</v>
      </c>
      <c r="BF459" s="30">
        <f t="shared" si="63"/>
        <v>49027819</v>
      </c>
      <c r="BG459" s="18">
        <f t="shared" si="64"/>
        <v>0</v>
      </c>
      <c r="BH459" s="23"/>
      <c r="BI459" s="23"/>
      <c r="BJ459" s="23"/>
    </row>
    <row r="460" spans="1:66" ht="15" customHeight="1" x14ac:dyDescent="0.2">
      <c r="A460" s="1">
        <v>8001000570</v>
      </c>
      <c r="B460" s="1">
        <v>800100057</v>
      </c>
      <c r="C460" s="15">
        <v>214773347</v>
      </c>
      <c r="D460" s="16" t="s">
        <v>2223</v>
      </c>
      <c r="E460" s="41" t="s">
        <v>1947</v>
      </c>
      <c r="F460" s="28"/>
      <c r="G460" s="2"/>
      <c r="H460" s="3"/>
      <c r="I460" s="2"/>
      <c r="J460" s="29"/>
      <c r="K460" s="3"/>
      <c r="L460" s="2"/>
      <c r="M460" s="8"/>
      <c r="N460" s="3"/>
      <c r="O460" s="2"/>
      <c r="P460" s="3"/>
      <c r="Q460" s="2"/>
      <c r="R460" s="3"/>
      <c r="S460" s="3"/>
      <c r="T460" s="2"/>
      <c r="U460" s="8">
        <f t="shared" si="59"/>
        <v>0</v>
      </c>
      <c r="V460" s="8"/>
      <c r="W460" s="8"/>
      <c r="X460" s="8"/>
      <c r="Y460" s="8"/>
      <c r="Z460" s="8"/>
      <c r="AA460" s="8"/>
      <c r="AB460" s="8"/>
      <c r="AC460" s="8">
        <f t="shared" si="60"/>
        <v>0</v>
      </c>
      <c r="AD460" s="8"/>
      <c r="AE460" s="8"/>
      <c r="AF460" s="8"/>
      <c r="AG460" s="8"/>
      <c r="AH460" s="8"/>
      <c r="AI460" s="8"/>
      <c r="AJ460" s="8"/>
      <c r="AK460" s="8"/>
      <c r="AL460" s="8"/>
      <c r="AM460" s="8">
        <v>54546279</v>
      </c>
      <c r="AN460" s="8">
        <f>SUBTOTAL(9,AC460:AM460)</f>
        <v>54546279</v>
      </c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>
        <v>52325605</v>
      </c>
      <c r="AZ460" s="8"/>
      <c r="BA460" s="8">
        <f>VLOOKUP(B460,[1]Hoja3!J$3:K$674,2,0)</f>
        <v>67847156</v>
      </c>
      <c r="BB460" s="8"/>
      <c r="BC460" s="8">
        <f t="shared" si="61"/>
        <v>174719040</v>
      </c>
      <c r="BD460" s="4">
        <v>52325605</v>
      </c>
      <c r="BE460" s="4">
        <f t="shared" si="62"/>
        <v>122393435</v>
      </c>
      <c r="BF460" s="30">
        <f t="shared" si="63"/>
        <v>174719040</v>
      </c>
      <c r="BG460" s="18">
        <f t="shared" si="64"/>
        <v>0</v>
      </c>
      <c r="BH460" s="23"/>
      <c r="BI460" s="23"/>
      <c r="BJ460" s="23"/>
    </row>
    <row r="461" spans="1:66" ht="15" customHeight="1" x14ac:dyDescent="0.2">
      <c r="A461" s="1">
        <v>8909849868</v>
      </c>
      <c r="B461" s="1">
        <v>890984986</v>
      </c>
      <c r="C461" s="15">
        <v>215305353</v>
      </c>
      <c r="D461" s="16" t="s">
        <v>97</v>
      </c>
      <c r="E461" s="41" t="s">
        <v>1128</v>
      </c>
      <c r="F461" s="28"/>
      <c r="G461" s="2"/>
      <c r="H461" s="3"/>
      <c r="I461" s="2"/>
      <c r="J461" s="29"/>
      <c r="K461" s="3"/>
      <c r="L461" s="2"/>
      <c r="M461" s="8"/>
      <c r="N461" s="3"/>
      <c r="O461" s="2"/>
      <c r="P461" s="3"/>
      <c r="Q461" s="2"/>
      <c r="R461" s="3"/>
      <c r="S461" s="3"/>
      <c r="T461" s="2"/>
      <c r="U461" s="8">
        <f t="shared" si="59"/>
        <v>0</v>
      </c>
      <c r="V461" s="8"/>
      <c r="W461" s="8"/>
      <c r="X461" s="8"/>
      <c r="Y461" s="8"/>
      <c r="Z461" s="8"/>
      <c r="AA461" s="8"/>
      <c r="AB461" s="8"/>
      <c r="AC461" s="8">
        <f t="shared" si="60"/>
        <v>0</v>
      </c>
      <c r="AD461" s="8"/>
      <c r="AE461" s="8"/>
      <c r="AF461" s="8"/>
      <c r="AG461" s="8"/>
      <c r="AH461" s="8"/>
      <c r="AI461" s="8"/>
      <c r="AJ461" s="8"/>
      <c r="AK461" s="8"/>
      <c r="AL461" s="8"/>
      <c r="AM461" s="8">
        <v>64744198</v>
      </c>
      <c r="AN461" s="8">
        <f>SUBTOTAL(9,AC461:AM461)</f>
        <v>64744198</v>
      </c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>
        <v>33809755</v>
      </c>
      <c r="AZ461" s="8"/>
      <c r="BA461" s="8"/>
      <c r="BB461" s="8"/>
      <c r="BC461" s="8">
        <f t="shared" si="61"/>
        <v>98553953</v>
      </c>
      <c r="BD461" s="4">
        <v>33809755</v>
      </c>
      <c r="BE461" s="4">
        <f t="shared" si="62"/>
        <v>64744198</v>
      </c>
      <c r="BF461" s="30">
        <f t="shared" si="63"/>
        <v>98553953</v>
      </c>
      <c r="BG461" s="18">
        <f t="shared" si="64"/>
        <v>0</v>
      </c>
      <c r="BH461" s="23"/>
      <c r="BI461" s="23"/>
      <c r="BJ461" s="23"/>
    </row>
    <row r="462" spans="1:66" ht="15" customHeight="1" x14ac:dyDescent="0.2">
      <c r="A462" s="1">
        <v>8911800193</v>
      </c>
      <c r="B462" s="1">
        <v>891180019</v>
      </c>
      <c r="C462" s="15">
        <v>214941349</v>
      </c>
      <c r="D462" s="16" t="s">
        <v>605</v>
      </c>
      <c r="E462" s="41" t="s">
        <v>1625</v>
      </c>
      <c r="F462" s="28"/>
      <c r="G462" s="2"/>
      <c r="H462" s="3"/>
      <c r="I462" s="2"/>
      <c r="J462" s="29"/>
      <c r="K462" s="3"/>
      <c r="L462" s="2"/>
      <c r="M462" s="8"/>
      <c r="N462" s="3"/>
      <c r="O462" s="2"/>
      <c r="P462" s="3"/>
      <c r="Q462" s="2"/>
      <c r="R462" s="3"/>
      <c r="S462" s="3"/>
      <c r="T462" s="2"/>
      <c r="U462" s="8">
        <f t="shared" si="59"/>
        <v>0</v>
      </c>
      <c r="V462" s="8"/>
      <c r="W462" s="8"/>
      <c r="X462" s="8"/>
      <c r="Y462" s="8"/>
      <c r="Z462" s="8"/>
      <c r="AA462" s="8"/>
      <c r="AB462" s="8"/>
      <c r="AC462" s="8">
        <f t="shared" si="60"/>
        <v>0</v>
      </c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>
        <v>45506180</v>
      </c>
      <c r="AZ462" s="8"/>
      <c r="BA462" s="8">
        <f>VLOOKUP(B462,[1]Hoja3!J$3:K$674,2,0)</f>
        <v>98886291</v>
      </c>
      <c r="BB462" s="8"/>
      <c r="BC462" s="8">
        <f t="shared" si="61"/>
        <v>144392471</v>
      </c>
      <c r="BD462" s="4">
        <v>45506180</v>
      </c>
      <c r="BE462" s="4">
        <f t="shared" si="62"/>
        <v>98886291</v>
      </c>
      <c r="BF462" s="30">
        <f t="shared" si="63"/>
        <v>144392471</v>
      </c>
      <c r="BG462" s="18">
        <f t="shared" si="64"/>
        <v>0</v>
      </c>
      <c r="BH462" s="23"/>
      <c r="BI462" s="23"/>
      <c r="BJ462" s="23"/>
    </row>
    <row r="463" spans="1:66" ht="15" customHeight="1" x14ac:dyDescent="0.2">
      <c r="A463" s="1">
        <v>8001000588</v>
      </c>
      <c r="B463" s="1">
        <v>800100058</v>
      </c>
      <c r="C463" s="15">
        <v>214973349</v>
      </c>
      <c r="D463" s="16" t="s">
        <v>2224</v>
      </c>
      <c r="E463" s="41" t="s">
        <v>1948</v>
      </c>
      <c r="F463" s="28"/>
      <c r="G463" s="2"/>
      <c r="H463" s="3"/>
      <c r="I463" s="2"/>
      <c r="J463" s="29"/>
      <c r="K463" s="3"/>
      <c r="L463" s="2"/>
      <c r="M463" s="8"/>
      <c r="N463" s="3"/>
      <c r="O463" s="2"/>
      <c r="P463" s="3"/>
      <c r="Q463" s="2"/>
      <c r="R463" s="3"/>
      <c r="S463" s="3"/>
      <c r="T463" s="2"/>
      <c r="U463" s="8">
        <f t="shared" si="59"/>
        <v>0</v>
      </c>
      <c r="V463" s="8"/>
      <c r="W463" s="8"/>
      <c r="X463" s="8"/>
      <c r="Y463" s="8"/>
      <c r="Z463" s="8"/>
      <c r="AA463" s="8"/>
      <c r="AB463" s="8"/>
      <c r="AC463" s="8">
        <f t="shared" si="60"/>
        <v>0</v>
      </c>
      <c r="AD463" s="8"/>
      <c r="AE463" s="8"/>
      <c r="AF463" s="8"/>
      <c r="AG463" s="8"/>
      <c r="AH463" s="8"/>
      <c r="AI463" s="8"/>
      <c r="AJ463" s="8"/>
      <c r="AK463" s="8"/>
      <c r="AL463" s="8"/>
      <c r="AM463" s="8">
        <v>268922122</v>
      </c>
      <c r="AN463" s="8">
        <f>SUBTOTAL(9,AC463:AM463)</f>
        <v>268922122</v>
      </c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>
        <v>171291520</v>
      </c>
      <c r="AZ463" s="8"/>
      <c r="BA463" s="8"/>
      <c r="BB463" s="8"/>
      <c r="BC463" s="8">
        <f t="shared" si="61"/>
        <v>440213642</v>
      </c>
      <c r="BD463" s="4">
        <v>171291520</v>
      </c>
      <c r="BE463" s="4">
        <f t="shared" si="62"/>
        <v>268922122</v>
      </c>
      <c r="BF463" s="30">
        <f t="shared" si="63"/>
        <v>440213642</v>
      </c>
      <c r="BG463" s="18">
        <f t="shared" si="64"/>
        <v>0</v>
      </c>
      <c r="BH463" s="23"/>
      <c r="BI463" s="23"/>
      <c r="BJ463" s="23"/>
    </row>
    <row r="464" spans="1:66" ht="15" customHeight="1" x14ac:dyDescent="0.2">
      <c r="A464" s="1">
        <v>8001133897</v>
      </c>
      <c r="B464" s="1">
        <v>800113389</v>
      </c>
      <c r="C464" s="15">
        <v>210173001</v>
      </c>
      <c r="D464" s="16" t="s">
        <v>2170</v>
      </c>
      <c r="E464" s="53" t="s">
        <v>1029</v>
      </c>
      <c r="F464" s="28"/>
      <c r="G464" s="2"/>
      <c r="H464" s="3"/>
      <c r="I464" s="2">
        <f>12031316885+154036739</f>
        <v>12185353624</v>
      </c>
      <c r="J464" s="29">
        <v>844794001</v>
      </c>
      <c r="K464" s="3">
        <v>1679254919</v>
      </c>
      <c r="L464" s="2"/>
      <c r="M464" s="37">
        <f>SUM(F464:L464)</f>
        <v>14709402544</v>
      </c>
      <c r="N464" s="3"/>
      <c r="O464" s="2"/>
      <c r="P464" s="3"/>
      <c r="Q464" s="2">
        <f>11388696532+70016700</f>
        <v>11458713232</v>
      </c>
      <c r="R464" s="3">
        <v>844947360</v>
      </c>
      <c r="S464" s="3">
        <f>834460918+844947360</f>
        <v>1679408278</v>
      </c>
      <c r="T464" s="2"/>
      <c r="U464" s="8">
        <f t="shared" si="59"/>
        <v>28692471414</v>
      </c>
      <c r="V464" s="8"/>
      <c r="W464" s="8"/>
      <c r="X464" s="8"/>
      <c r="Y464" s="8">
        <v>16681995257</v>
      </c>
      <c r="Z464" s="8">
        <v>865300350</v>
      </c>
      <c r="AA464" s="8">
        <v>1986418488</v>
      </c>
      <c r="AB464" s="8"/>
      <c r="AC464" s="8">
        <f t="shared" si="60"/>
        <v>48226185509</v>
      </c>
      <c r="AD464" s="8"/>
      <c r="AE464" s="8"/>
      <c r="AF464" s="8"/>
      <c r="AG464" s="8"/>
      <c r="AH464" s="8">
        <v>12215496782</v>
      </c>
      <c r="AI464" s="8">
        <v>949598609</v>
      </c>
      <c r="AJ464" s="8">
        <v>875847382</v>
      </c>
      <c r="AK464" s="8">
        <v>2207340146</v>
      </c>
      <c r="AL464" s="8"/>
      <c r="AM464" s="8">
        <v>5451515975</v>
      </c>
      <c r="AN464" s="8">
        <f>SUBTOTAL(9,AC464:AM464)</f>
        <v>69925984403</v>
      </c>
      <c r="AO464" s="8"/>
      <c r="AP464" s="8"/>
      <c r="AQ464" s="8">
        <v>1854894980</v>
      </c>
      <c r="AR464" s="8"/>
      <c r="AS464" s="8"/>
      <c r="AT464" s="8">
        <v>12215496782</v>
      </c>
      <c r="AU464" s="8"/>
      <c r="AV464" s="8">
        <v>875847382</v>
      </c>
      <c r="AW464" s="8">
        <v>1495056254</v>
      </c>
      <c r="AX464" s="8"/>
      <c r="AY464" s="8"/>
      <c r="AZ464" s="8"/>
      <c r="BA464" s="8"/>
      <c r="BB464" s="8">
        <f>VLOOKUP(B464,'[2]anuladas en mayo gratuidad}'!K$2:L$55,2,0)</f>
        <v>422374283</v>
      </c>
      <c r="BC464" s="8">
        <f t="shared" si="61"/>
        <v>85944905518</v>
      </c>
      <c r="BD464" s="4">
        <v>80915763826</v>
      </c>
      <c r="BE464" s="4">
        <f t="shared" si="62"/>
        <v>5029141692</v>
      </c>
      <c r="BF464" s="30">
        <f t="shared" si="63"/>
        <v>85944905518</v>
      </c>
      <c r="BG464" s="18">
        <f t="shared" si="64"/>
        <v>0</v>
      </c>
      <c r="BH464" s="23"/>
      <c r="BI464" s="23"/>
      <c r="BJ464" s="23"/>
    </row>
    <row r="465" spans="1:66" ht="15" customHeight="1" x14ac:dyDescent="0.2">
      <c r="A465" s="1">
        <v>8001000595</v>
      </c>
      <c r="B465" s="1">
        <v>800100059</v>
      </c>
      <c r="C465" s="15">
        <v>215273352</v>
      </c>
      <c r="D465" s="16" t="s">
        <v>2205</v>
      </c>
      <c r="E465" s="41" t="s">
        <v>1949</v>
      </c>
      <c r="F465" s="28"/>
      <c r="G465" s="2"/>
      <c r="H465" s="3"/>
      <c r="I465" s="2"/>
      <c r="J465" s="29"/>
      <c r="K465" s="3"/>
      <c r="L465" s="2"/>
      <c r="M465" s="8"/>
      <c r="N465" s="3"/>
      <c r="O465" s="2"/>
      <c r="P465" s="3"/>
      <c r="Q465" s="2"/>
      <c r="R465" s="3"/>
      <c r="S465" s="3"/>
      <c r="T465" s="2"/>
      <c r="U465" s="8">
        <f t="shared" si="59"/>
        <v>0</v>
      </c>
      <c r="V465" s="8"/>
      <c r="W465" s="8"/>
      <c r="X465" s="8"/>
      <c r="Y465" s="8"/>
      <c r="Z465" s="8"/>
      <c r="AA465" s="8"/>
      <c r="AB465" s="8"/>
      <c r="AC465" s="8">
        <f t="shared" si="60"/>
        <v>0</v>
      </c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>
        <v>90154530</v>
      </c>
      <c r="AZ465" s="8"/>
      <c r="BA465" s="8">
        <f>VLOOKUP(B465,[1]Hoja3!J$3:K$674,2,0)</f>
        <v>184289802</v>
      </c>
      <c r="BB465" s="8"/>
      <c r="BC465" s="8">
        <f t="shared" si="61"/>
        <v>274444332</v>
      </c>
      <c r="BD465" s="4">
        <v>90154530</v>
      </c>
      <c r="BE465" s="4">
        <f t="shared" si="62"/>
        <v>184289802</v>
      </c>
      <c r="BF465" s="30">
        <f t="shared" si="63"/>
        <v>274444332</v>
      </c>
      <c r="BG465" s="18">
        <f t="shared" si="64"/>
        <v>0</v>
      </c>
      <c r="BH465" s="23"/>
      <c r="BI465" s="23"/>
      <c r="BJ465" s="23"/>
    </row>
    <row r="466" spans="1:66" ht="15" customHeight="1" x14ac:dyDescent="0.2">
      <c r="A466" s="1">
        <v>8000990925</v>
      </c>
      <c r="B466" s="1">
        <v>800099092</v>
      </c>
      <c r="C466" s="15">
        <v>215252352</v>
      </c>
      <c r="D466" s="16" t="s">
        <v>714</v>
      </c>
      <c r="E466" s="41" t="s">
        <v>1738</v>
      </c>
      <c r="F466" s="28"/>
      <c r="G466" s="2"/>
      <c r="H466" s="3"/>
      <c r="I466" s="2"/>
      <c r="J466" s="29"/>
      <c r="K466" s="3"/>
      <c r="L466" s="2"/>
      <c r="M466" s="8"/>
      <c r="N466" s="3"/>
      <c r="O466" s="2"/>
      <c r="P466" s="3"/>
      <c r="Q466" s="2"/>
      <c r="R466" s="3"/>
      <c r="S466" s="3"/>
      <c r="T466" s="2"/>
      <c r="U466" s="8">
        <f t="shared" si="59"/>
        <v>0</v>
      </c>
      <c r="V466" s="8"/>
      <c r="W466" s="8"/>
      <c r="X466" s="8"/>
      <c r="Y466" s="8"/>
      <c r="Z466" s="8"/>
      <c r="AA466" s="8"/>
      <c r="AB466" s="8"/>
      <c r="AC466" s="8">
        <f t="shared" si="60"/>
        <v>0</v>
      </c>
      <c r="AD466" s="8"/>
      <c r="AE466" s="8"/>
      <c r="AF466" s="8"/>
      <c r="AG466" s="8"/>
      <c r="AH466" s="8"/>
      <c r="AI466" s="8"/>
      <c r="AJ466" s="8"/>
      <c r="AK466" s="8"/>
      <c r="AL466" s="8"/>
      <c r="AM466" s="8">
        <v>91655022</v>
      </c>
      <c r="AN466" s="8">
        <f>SUBTOTAL(9,AC466:AM466)</f>
        <v>91655022</v>
      </c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>
        <v>71889225</v>
      </c>
      <c r="AZ466" s="8"/>
      <c r="BA466" s="8">
        <f>VLOOKUP(B466,[1]Hoja3!J$3:K$674,2,0)</f>
        <v>22149513</v>
      </c>
      <c r="BB466" s="8"/>
      <c r="BC466" s="8">
        <f t="shared" si="61"/>
        <v>185693760</v>
      </c>
      <c r="BD466" s="4">
        <v>71889225</v>
      </c>
      <c r="BE466" s="4">
        <f t="shared" si="62"/>
        <v>113804535</v>
      </c>
      <c r="BF466" s="30">
        <f t="shared" si="63"/>
        <v>185693760</v>
      </c>
      <c r="BG466" s="18">
        <f t="shared" si="64"/>
        <v>0</v>
      </c>
      <c r="BH466" s="23"/>
      <c r="BI466" s="23"/>
      <c r="BJ466" s="23"/>
    </row>
    <row r="467" spans="1:66" ht="15" customHeight="1" x14ac:dyDescent="0.2">
      <c r="A467" s="1">
        <v>8000190052</v>
      </c>
      <c r="B467" s="1">
        <v>800019005</v>
      </c>
      <c r="C467" s="15">
        <v>215452354</v>
      </c>
      <c r="D467" s="16" t="s">
        <v>715</v>
      </c>
      <c r="E467" s="41" t="s">
        <v>1729</v>
      </c>
      <c r="F467" s="28"/>
      <c r="G467" s="2"/>
      <c r="H467" s="3"/>
      <c r="I467" s="2"/>
      <c r="J467" s="29"/>
      <c r="K467" s="3"/>
      <c r="L467" s="2"/>
      <c r="M467" s="8"/>
      <c r="N467" s="3"/>
      <c r="O467" s="2"/>
      <c r="P467" s="3"/>
      <c r="Q467" s="2"/>
      <c r="R467" s="3"/>
      <c r="S467" s="3"/>
      <c r="T467" s="2"/>
      <c r="U467" s="8">
        <f t="shared" si="59"/>
        <v>0</v>
      </c>
      <c r="V467" s="8"/>
      <c r="W467" s="8"/>
      <c r="X467" s="8"/>
      <c r="Y467" s="8"/>
      <c r="Z467" s="8"/>
      <c r="AA467" s="8"/>
      <c r="AB467" s="8"/>
      <c r="AC467" s="8">
        <f t="shared" si="60"/>
        <v>0</v>
      </c>
      <c r="AD467" s="8"/>
      <c r="AE467" s="8"/>
      <c r="AF467" s="8"/>
      <c r="AG467" s="8"/>
      <c r="AH467" s="8"/>
      <c r="AI467" s="8"/>
      <c r="AJ467" s="8"/>
      <c r="AK467" s="8"/>
      <c r="AL467" s="8"/>
      <c r="AM467" s="8">
        <v>106871313</v>
      </c>
      <c r="AN467" s="8">
        <f>SUBTOTAL(9,AC467:AM467)</f>
        <v>106871313</v>
      </c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>
        <f t="shared" si="61"/>
        <v>106871313</v>
      </c>
      <c r="BD467" s="4"/>
      <c r="BE467" s="4">
        <f t="shared" si="62"/>
        <v>106871313</v>
      </c>
      <c r="BF467" s="30">
        <f t="shared" si="63"/>
        <v>106871313</v>
      </c>
      <c r="BG467" s="18">
        <f t="shared" si="64"/>
        <v>0</v>
      </c>
      <c r="BH467" s="23"/>
      <c r="BI467" s="23"/>
      <c r="BJ467" s="23"/>
    </row>
    <row r="468" spans="1:66" ht="15" customHeight="1" x14ac:dyDescent="0.2">
      <c r="A468" s="1">
        <v>8920991057</v>
      </c>
      <c r="B468" s="1">
        <v>892099105</v>
      </c>
      <c r="C468" s="15">
        <v>210194001</v>
      </c>
      <c r="D468" s="16" t="s">
        <v>990</v>
      </c>
      <c r="E468" s="41" t="s">
        <v>2047</v>
      </c>
      <c r="F468" s="28"/>
      <c r="G468" s="2"/>
      <c r="H468" s="3"/>
      <c r="I468" s="2"/>
      <c r="J468" s="29"/>
      <c r="K468" s="3"/>
      <c r="L468" s="2"/>
      <c r="M468" s="8"/>
      <c r="N468" s="3"/>
      <c r="O468" s="2"/>
      <c r="P468" s="3"/>
      <c r="Q468" s="2"/>
      <c r="R468" s="3"/>
      <c r="S468" s="3"/>
      <c r="T468" s="2"/>
      <c r="U468" s="8">
        <f t="shared" si="59"/>
        <v>0</v>
      </c>
      <c r="V468" s="8"/>
      <c r="W468" s="8"/>
      <c r="X468" s="8"/>
      <c r="Y468" s="8"/>
      <c r="Z468" s="8"/>
      <c r="AA468" s="8"/>
      <c r="AB468" s="8"/>
      <c r="AC468" s="8">
        <f t="shared" si="60"/>
        <v>0</v>
      </c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>
        <v>266294595</v>
      </c>
      <c r="AZ468" s="8"/>
      <c r="BA468" s="8">
        <f>VLOOKUP(B468,[1]Hoja3!J$3:K$674,2,0)</f>
        <v>585367509</v>
      </c>
      <c r="BB468" s="8"/>
      <c r="BC468" s="8">
        <f t="shared" si="61"/>
        <v>851662104</v>
      </c>
      <c r="BD468" s="4">
        <v>266294595</v>
      </c>
      <c r="BE468" s="4">
        <f t="shared" si="62"/>
        <v>585367509</v>
      </c>
      <c r="BF468" s="30">
        <f t="shared" si="63"/>
        <v>851662104</v>
      </c>
      <c r="BG468" s="18">
        <f t="shared" si="64"/>
        <v>0</v>
      </c>
      <c r="BH468" s="23"/>
      <c r="BI468" s="23"/>
      <c r="BJ468" s="23"/>
    </row>
    <row r="469" spans="1:66" ht="15" customHeight="1" x14ac:dyDescent="0.2">
      <c r="A469" s="1">
        <v>8000047411</v>
      </c>
      <c r="B469" s="1">
        <v>800004741</v>
      </c>
      <c r="C469" s="15">
        <v>215519355</v>
      </c>
      <c r="D469" s="16" t="s">
        <v>386</v>
      </c>
      <c r="E469" s="41" t="s">
        <v>1416</v>
      </c>
      <c r="F469" s="28"/>
      <c r="G469" s="2"/>
      <c r="H469" s="3"/>
      <c r="I469" s="2"/>
      <c r="J469" s="29"/>
      <c r="K469" s="3"/>
      <c r="L469" s="2"/>
      <c r="M469" s="8"/>
      <c r="N469" s="3"/>
      <c r="O469" s="2"/>
      <c r="P469" s="3"/>
      <c r="Q469" s="2"/>
      <c r="R469" s="3"/>
      <c r="S469" s="3"/>
      <c r="T469" s="2"/>
      <c r="U469" s="8">
        <f t="shared" si="59"/>
        <v>0</v>
      </c>
      <c r="V469" s="8"/>
      <c r="W469" s="8"/>
      <c r="X469" s="8"/>
      <c r="Y469" s="8"/>
      <c r="Z469" s="8"/>
      <c r="AA469" s="8"/>
      <c r="AB469" s="8"/>
      <c r="AC469" s="8">
        <f t="shared" si="60"/>
        <v>0</v>
      </c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>
        <v>309239795</v>
      </c>
      <c r="AZ469" s="8"/>
      <c r="BA469" s="8">
        <f>VLOOKUP(B469,[1]Hoja3!J$3:K$674,2,0)</f>
        <v>387154206</v>
      </c>
      <c r="BB469" s="8"/>
      <c r="BC469" s="8">
        <f t="shared" si="61"/>
        <v>696394001</v>
      </c>
      <c r="BD469" s="4">
        <v>309239795</v>
      </c>
      <c r="BE469" s="4">
        <f t="shared" si="62"/>
        <v>387154206</v>
      </c>
      <c r="BF469" s="30">
        <f t="shared" si="63"/>
        <v>696394001</v>
      </c>
      <c r="BG469" s="18">
        <f t="shared" si="64"/>
        <v>0</v>
      </c>
      <c r="BH469" s="23"/>
      <c r="BI469" s="23"/>
      <c r="BJ469" s="23"/>
    </row>
    <row r="470" spans="1:66" ht="15" customHeight="1" x14ac:dyDescent="0.2">
      <c r="A470" s="1">
        <v>8000990957</v>
      </c>
      <c r="B470" s="1">
        <v>800099095</v>
      </c>
      <c r="C470" s="15">
        <v>215652356</v>
      </c>
      <c r="D470" s="16" t="s">
        <v>716</v>
      </c>
      <c r="E470" s="53" t="s">
        <v>1739</v>
      </c>
      <c r="F470" s="28"/>
      <c r="G470" s="2"/>
      <c r="H470" s="3"/>
      <c r="I470" s="2">
        <f>3530999745+109589025</f>
        <v>3640588770</v>
      </c>
      <c r="J470" s="29">
        <v>236971548</v>
      </c>
      <c r="K470" s="3">
        <v>473830354</v>
      </c>
      <c r="L470" s="2"/>
      <c r="M470" s="37">
        <f>SUM(F470:L470)</f>
        <v>4351390672</v>
      </c>
      <c r="N470" s="3"/>
      <c r="O470" s="2"/>
      <c r="P470" s="3"/>
      <c r="Q470" s="2">
        <f>3381912558+49813193</f>
        <v>3431725751</v>
      </c>
      <c r="R470" s="3">
        <v>237124907</v>
      </c>
      <c r="S470" s="3">
        <f>236858806+237124907</f>
        <v>473983713</v>
      </c>
      <c r="T470" s="2"/>
      <c r="U470" s="8">
        <f t="shared" si="59"/>
        <v>8494225043</v>
      </c>
      <c r="V470" s="8"/>
      <c r="W470" s="8"/>
      <c r="X470" s="8"/>
      <c r="Y470" s="8">
        <v>5104446460</v>
      </c>
      <c r="Z470" s="8">
        <v>235036314</v>
      </c>
      <c r="AA470" s="8">
        <v>536907396</v>
      </c>
      <c r="AB470" s="8"/>
      <c r="AC470" s="8">
        <f t="shared" si="60"/>
        <v>14370615213</v>
      </c>
      <c r="AD470" s="8"/>
      <c r="AE470" s="8"/>
      <c r="AF470" s="8"/>
      <c r="AG470" s="8"/>
      <c r="AH470" s="8">
        <v>3435490265</v>
      </c>
      <c r="AI470" s="8">
        <v>519630399</v>
      </c>
      <c r="AJ470" s="8">
        <v>242627668</v>
      </c>
      <c r="AK470" s="8">
        <v>612183555</v>
      </c>
      <c r="AL470" s="8"/>
      <c r="AM470" s="8">
        <v>1471048283</v>
      </c>
      <c r="AN470" s="8">
        <f>SUBTOTAL(9,AC470:AM470)</f>
        <v>20651595383</v>
      </c>
      <c r="AO470" s="8"/>
      <c r="AP470" s="8"/>
      <c r="AQ470" s="8">
        <v>649209775</v>
      </c>
      <c r="AR470" s="8"/>
      <c r="AS470" s="8"/>
      <c r="AT470" s="8">
        <v>3588839696</v>
      </c>
      <c r="AU470" s="8"/>
      <c r="AV470" s="8">
        <v>242627668</v>
      </c>
      <c r="AW470" s="8">
        <v>414705617</v>
      </c>
      <c r="AX470" s="8"/>
      <c r="AY470" s="8"/>
      <c r="AZ470" s="8">
        <v>394970081</v>
      </c>
      <c r="BA470" s="8">
        <f>VLOOKUP(B470,[1]Hoja3!J$3:K$674,2,0)</f>
        <v>132403876</v>
      </c>
      <c r="BB470" s="8"/>
      <c r="BC470" s="8">
        <f t="shared" si="61"/>
        <v>26074352096</v>
      </c>
      <c r="BD470" s="4">
        <v>24470899937</v>
      </c>
      <c r="BE470" s="4">
        <f t="shared" si="62"/>
        <v>1603452159</v>
      </c>
      <c r="BF470" s="30">
        <f t="shared" si="63"/>
        <v>26074352096</v>
      </c>
      <c r="BG470" s="18">
        <f t="shared" si="64"/>
        <v>0</v>
      </c>
      <c r="BH470" s="23"/>
      <c r="BI470" s="23"/>
      <c r="BJ470" s="23"/>
    </row>
    <row r="471" spans="1:66" ht="15" customHeight="1" x14ac:dyDescent="0.2">
      <c r="A471" s="1">
        <v>8911801310</v>
      </c>
      <c r="B471" s="1">
        <v>891180131</v>
      </c>
      <c r="C471" s="15">
        <v>215741357</v>
      </c>
      <c r="D471" s="16" t="s">
        <v>606</v>
      </c>
      <c r="E471" s="41" t="s">
        <v>1626</v>
      </c>
      <c r="F471" s="28"/>
      <c r="G471" s="2"/>
      <c r="H471" s="3"/>
      <c r="I471" s="2"/>
      <c r="J471" s="29"/>
      <c r="K471" s="3"/>
      <c r="L471" s="2"/>
      <c r="M471" s="8"/>
      <c r="N471" s="3"/>
      <c r="O471" s="2"/>
      <c r="P471" s="3"/>
      <c r="Q471" s="2"/>
      <c r="R471" s="3"/>
      <c r="S471" s="3"/>
      <c r="T471" s="2"/>
      <c r="U471" s="8">
        <f t="shared" si="59"/>
        <v>0</v>
      </c>
      <c r="V471" s="8"/>
      <c r="W471" s="8"/>
      <c r="X471" s="8"/>
      <c r="Y471" s="8"/>
      <c r="Z471" s="8"/>
      <c r="AA471" s="8"/>
      <c r="AB471" s="8"/>
      <c r="AC471" s="8">
        <f t="shared" si="60"/>
        <v>0</v>
      </c>
      <c r="AD471" s="8"/>
      <c r="AE471" s="8"/>
      <c r="AF471" s="8"/>
      <c r="AG471" s="8"/>
      <c r="AH471" s="8"/>
      <c r="AI471" s="8"/>
      <c r="AJ471" s="8"/>
      <c r="AK471" s="8"/>
      <c r="AL471" s="8"/>
      <c r="AM471" s="8">
        <v>34779430</v>
      </c>
      <c r="AN471" s="8">
        <f>SUBTOTAL(9,AC471:AM471)</f>
        <v>34779430</v>
      </c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>
        <v>87170985</v>
      </c>
      <c r="AZ471" s="8"/>
      <c r="BA471" s="8">
        <f>VLOOKUP(B471,[1]Hoja3!J$3:K$674,2,0)</f>
        <v>108271044</v>
      </c>
      <c r="BB471" s="8"/>
      <c r="BC471" s="8">
        <f t="shared" si="61"/>
        <v>230221459</v>
      </c>
      <c r="BD471" s="4">
        <v>87170985</v>
      </c>
      <c r="BE471" s="4">
        <f t="shared" si="62"/>
        <v>143050474</v>
      </c>
      <c r="BF471" s="30">
        <f t="shared" si="63"/>
        <v>230221459</v>
      </c>
      <c r="BG471" s="18">
        <f t="shared" si="64"/>
        <v>0</v>
      </c>
      <c r="BH471" s="23"/>
      <c r="BI471" s="23"/>
      <c r="BJ471" s="23"/>
    </row>
    <row r="472" spans="1:66" ht="15" customHeight="1" x14ac:dyDescent="0.2">
      <c r="A472" s="1">
        <v>8000970981</v>
      </c>
      <c r="B472" s="1">
        <v>800097098</v>
      </c>
      <c r="C472" s="15">
        <v>215941359</v>
      </c>
      <c r="D472" s="16" t="s">
        <v>607</v>
      </c>
      <c r="E472" s="41" t="s">
        <v>1627</v>
      </c>
      <c r="F472" s="28"/>
      <c r="G472" s="2"/>
      <c r="H472" s="3"/>
      <c r="I472" s="2"/>
      <c r="J472" s="29"/>
      <c r="K472" s="3"/>
      <c r="L472" s="2"/>
      <c r="M472" s="8"/>
      <c r="N472" s="3"/>
      <c r="O472" s="2"/>
      <c r="P472" s="3"/>
      <c r="Q472" s="2"/>
      <c r="R472" s="3"/>
      <c r="S472" s="3"/>
      <c r="T472" s="2"/>
      <c r="U472" s="8">
        <f t="shared" si="59"/>
        <v>0</v>
      </c>
      <c r="V472" s="8"/>
      <c r="W472" s="8"/>
      <c r="X472" s="8"/>
      <c r="Y472" s="8"/>
      <c r="Z472" s="8"/>
      <c r="AA472" s="8"/>
      <c r="AB472" s="8"/>
      <c r="AC472" s="8">
        <f t="shared" si="60"/>
        <v>0</v>
      </c>
      <c r="AD472" s="8"/>
      <c r="AE472" s="8"/>
      <c r="AF472" s="8"/>
      <c r="AG472" s="8"/>
      <c r="AH472" s="8"/>
      <c r="AI472" s="8"/>
      <c r="AJ472" s="8"/>
      <c r="AK472" s="8"/>
      <c r="AL472" s="8"/>
      <c r="AM472" s="8">
        <v>46658958</v>
      </c>
      <c r="AN472" s="8">
        <f>SUBTOTAL(9,AC472:AM472)</f>
        <v>46658958</v>
      </c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>
        <v>177456280</v>
      </c>
      <c r="AZ472" s="8"/>
      <c r="BA472" s="8">
        <f>VLOOKUP(B472,[1]Hoja3!J$3:K$674,2,0)</f>
        <v>362951818</v>
      </c>
      <c r="BB472" s="8"/>
      <c r="BC472" s="8">
        <f t="shared" si="61"/>
        <v>587067056</v>
      </c>
      <c r="BD472" s="4">
        <v>177456280</v>
      </c>
      <c r="BE472" s="4">
        <f t="shared" si="62"/>
        <v>409610776</v>
      </c>
      <c r="BF472" s="30">
        <f t="shared" si="63"/>
        <v>587067056</v>
      </c>
      <c r="BG472" s="18">
        <f t="shared" si="64"/>
        <v>0</v>
      </c>
      <c r="BH472" s="23"/>
      <c r="BI472" s="23"/>
      <c r="BJ472" s="23"/>
    </row>
    <row r="473" spans="1:66" ht="15" customHeight="1" x14ac:dyDescent="0.2">
      <c r="A473" s="1">
        <v>8909800938</v>
      </c>
      <c r="B473" s="1">
        <v>890980093</v>
      </c>
      <c r="C473" s="15">
        <v>216005360</v>
      </c>
      <c r="D473" s="16" t="s">
        <v>2171</v>
      </c>
      <c r="E473" s="61" t="s">
        <v>2264</v>
      </c>
      <c r="F473" s="28"/>
      <c r="G473" s="2"/>
      <c r="H473" s="3"/>
      <c r="I473" s="2">
        <f>3707546421+108395210</f>
        <v>3815941631</v>
      </c>
      <c r="J473" s="29">
        <v>294996338</v>
      </c>
      <c r="K473" s="3">
        <v>584376479</v>
      </c>
      <c r="L473" s="2"/>
      <c r="M473" s="37">
        <f>SUM(F473:L473)</f>
        <v>4695314448</v>
      </c>
      <c r="N473" s="3"/>
      <c r="O473" s="2"/>
      <c r="P473" s="3"/>
      <c r="Q473" s="2">
        <f>3586428043+49270550</f>
        <v>3635698593</v>
      </c>
      <c r="R473" s="3">
        <v>294996338</v>
      </c>
      <c r="S473" s="3">
        <f>289380141+294996338</f>
        <v>584376479</v>
      </c>
      <c r="T473" s="2"/>
      <c r="U473" s="8">
        <f t="shared" si="59"/>
        <v>9210385858</v>
      </c>
      <c r="V473" s="8"/>
      <c r="W473" s="8"/>
      <c r="X473" s="8"/>
      <c r="Y473" s="8">
        <v>6388128983</v>
      </c>
      <c r="Z473" s="8">
        <v>311418770</v>
      </c>
      <c r="AA473" s="8">
        <v>697112483</v>
      </c>
      <c r="AB473" s="8"/>
      <c r="AC473" s="8">
        <f t="shared" si="60"/>
        <v>16607046094</v>
      </c>
      <c r="AD473" s="8"/>
      <c r="AE473" s="8"/>
      <c r="AF473" s="8"/>
      <c r="AG473" s="8"/>
      <c r="AH473" s="8">
        <v>4528804226</v>
      </c>
      <c r="AI473" s="8">
        <v>1096156504</v>
      </c>
      <c r="AJ473" s="8">
        <v>308676242</v>
      </c>
      <c r="AK473" s="8">
        <v>777382019</v>
      </c>
      <c r="AL473" s="8"/>
      <c r="AM473" s="8">
        <v>2345946350</v>
      </c>
      <c r="AN473" s="8">
        <f>SUBTOTAL(9,AC473:AM473)</f>
        <v>25664011435</v>
      </c>
      <c r="AO473" s="8"/>
      <c r="AP473" s="8"/>
      <c r="AQ473" s="8">
        <v>699730070</v>
      </c>
      <c r="AR473" s="8"/>
      <c r="AS473" s="8"/>
      <c r="AT473" s="8">
        <v>4528804226</v>
      </c>
      <c r="AU473" s="8"/>
      <c r="AV473" s="8">
        <v>308676242</v>
      </c>
      <c r="AW473" s="8">
        <v>526551053</v>
      </c>
      <c r="AX473" s="8"/>
      <c r="AY473" s="8"/>
      <c r="AZ473" s="8">
        <v>103268936</v>
      </c>
      <c r="BA473" s="8"/>
      <c r="BB473" s="8">
        <f>VLOOKUP(B473,'[2]anuladas en mayo gratuidad}'!K$2:L$55,2,0)</f>
        <v>180135016</v>
      </c>
      <c r="BC473" s="8">
        <f t="shared" si="61"/>
        <v>31650906946</v>
      </c>
      <c r="BD473" s="4">
        <v>29485095612</v>
      </c>
      <c r="BE473" s="4">
        <f t="shared" si="62"/>
        <v>2165811334</v>
      </c>
      <c r="BF473" s="30">
        <f t="shared" si="63"/>
        <v>31650906946</v>
      </c>
      <c r="BG473" s="18">
        <f t="shared" si="64"/>
        <v>0</v>
      </c>
      <c r="BH473" s="23"/>
      <c r="BI473" s="23"/>
      <c r="BJ473" s="23"/>
    </row>
    <row r="474" spans="1:66" ht="15" customHeight="1" x14ac:dyDescent="0.2">
      <c r="A474" s="1">
        <v>8916800672</v>
      </c>
      <c r="B474" s="1">
        <v>891680067</v>
      </c>
      <c r="C474" s="15">
        <v>216127361</v>
      </c>
      <c r="D474" s="16" t="s">
        <v>579</v>
      </c>
      <c r="E474" s="41" t="s">
        <v>1600</v>
      </c>
      <c r="F474" s="28"/>
      <c r="G474" s="2"/>
      <c r="H474" s="3"/>
      <c r="I474" s="2"/>
      <c r="J474" s="29"/>
      <c r="K474" s="3"/>
      <c r="L474" s="2"/>
      <c r="M474" s="8"/>
      <c r="N474" s="3"/>
      <c r="O474" s="2"/>
      <c r="P474" s="3"/>
      <c r="Q474" s="2"/>
      <c r="R474" s="3"/>
      <c r="S474" s="3"/>
      <c r="T474" s="2"/>
      <c r="U474" s="8">
        <f t="shared" si="59"/>
        <v>0</v>
      </c>
      <c r="V474" s="8"/>
      <c r="W474" s="8"/>
      <c r="X474" s="8"/>
      <c r="Y474" s="8"/>
      <c r="Z474" s="8"/>
      <c r="AA474" s="8"/>
      <c r="AB474" s="8"/>
      <c r="AC474" s="8">
        <f t="shared" si="60"/>
        <v>0</v>
      </c>
      <c r="AD474" s="8"/>
      <c r="AE474" s="8"/>
      <c r="AF474" s="8"/>
      <c r="AG474" s="8"/>
      <c r="AH474" s="8"/>
      <c r="AI474" s="8"/>
      <c r="AJ474" s="8"/>
      <c r="AK474" s="8"/>
      <c r="AL474" s="8"/>
      <c r="AM474" s="8">
        <v>640175632</v>
      </c>
      <c r="AN474" s="8">
        <f>SUBTOTAL(9,AC474:AM474)</f>
        <v>640175632</v>
      </c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>
        <v>571581795</v>
      </c>
      <c r="AZ474" s="8"/>
      <c r="BA474" s="8"/>
      <c r="BB474" s="8"/>
      <c r="BC474" s="8">
        <f t="shared" si="61"/>
        <v>1211757427</v>
      </c>
      <c r="BD474" s="4">
        <v>571581795</v>
      </c>
      <c r="BE474" s="4">
        <f t="shared" si="62"/>
        <v>640175632</v>
      </c>
      <c r="BF474" s="30">
        <f t="shared" si="63"/>
        <v>1211757427</v>
      </c>
      <c r="BG474" s="18">
        <f t="shared" si="64"/>
        <v>0</v>
      </c>
      <c r="BH474" s="23"/>
      <c r="BI474" s="23"/>
      <c r="BJ474" s="23"/>
    </row>
    <row r="475" spans="1:66" ht="15" customHeight="1" x14ac:dyDescent="0.2">
      <c r="A475" s="1">
        <v>8909822782</v>
      </c>
      <c r="B475" s="1">
        <v>890982278</v>
      </c>
      <c r="C475" s="15">
        <v>216105361</v>
      </c>
      <c r="D475" s="16" t="s">
        <v>98</v>
      </c>
      <c r="E475" s="41" t="s">
        <v>1129</v>
      </c>
      <c r="F475" s="28"/>
      <c r="G475" s="2"/>
      <c r="H475" s="3"/>
      <c r="I475" s="2"/>
      <c r="J475" s="29"/>
      <c r="K475" s="3"/>
      <c r="L475" s="2"/>
      <c r="M475" s="8"/>
      <c r="N475" s="3"/>
      <c r="O475" s="2"/>
      <c r="P475" s="3"/>
      <c r="Q475" s="2"/>
      <c r="R475" s="3"/>
      <c r="S475" s="3"/>
      <c r="T475" s="2"/>
      <c r="U475" s="8">
        <f t="shared" si="59"/>
        <v>0</v>
      </c>
      <c r="V475" s="8"/>
      <c r="W475" s="8"/>
      <c r="X475" s="8"/>
      <c r="Y475" s="8"/>
      <c r="Z475" s="8"/>
      <c r="AA475" s="8"/>
      <c r="AB475" s="8"/>
      <c r="AC475" s="8">
        <f t="shared" si="60"/>
        <v>0</v>
      </c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>
        <v>249727995</v>
      </c>
      <c r="AZ475" s="8"/>
      <c r="BA475" s="8">
        <f>VLOOKUP(B475,[1]Hoja3!J$3:K$674,2,0)</f>
        <v>405350422</v>
      </c>
      <c r="BB475" s="8"/>
      <c r="BC475" s="8">
        <f t="shared" si="61"/>
        <v>655078417</v>
      </c>
      <c r="BD475" s="4">
        <v>249727995</v>
      </c>
      <c r="BE475" s="4">
        <f t="shared" si="62"/>
        <v>405350422</v>
      </c>
      <c r="BF475" s="30">
        <f t="shared" si="63"/>
        <v>655078417</v>
      </c>
      <c r="BG475" s="18">
        <f t="shared" si="64"/>
        <v>0</v>
      </c>
      <c r="BH475" s="23"/>
      <c r="BI475" s="23"/>
      <c r="BJ475" s="23"/>
    </row>
    <row r="476" spans="1:66" ht="15" customHeight="1" x14ac:dyDescent="0.2">
      <c r="A476" s="1">
        <v>8918560773</v>
      </c>
      <c r="B476" s="1">
        <v>891856077</v>
      </c>
      <c r="C476" s="15">
        <v>216215362</v>
      </c>
      <c r="D476" s="16" t="s">
        <v>258</v>
      </c>
      <c r="E476" s="41" t="s">
        <v>1293</v>
      </c>
      <c r="F476" s="28"/>
      <c r="G476" s="17"/>
      <c r="H476" s="3"/>
      <c r="I476" s="2"/>
      <c r="J476" s="29"/>
      <c r="K476" s="3"/>
      <c r="L476" s="17"/>
      <c r="M476" s="34"/>
      <c r="N476" s="3"/>
      <c r="O476" s="17"/>
      <c r="P476" s="3"/>
      <c r="Q476" s="2"/>
      <c r="R476" s="3"/>
      <c r="S476" s="3"/>
      <c r="T476" s="17"/>
      <c r="U476" s="8">
        <f t="shared" si="59"/>
        <v>0</v>
      </c>
      <c r="V476" s="8"/>
      <c r="W476" s="8"/>
      <c r="X476" s="8"/>
      <c r="Y476" s="8"/>
      <c r="Z476" s="8"/>
      <c r="AA476" s="8"/>
      <c r="AB476" s="8"/>
      <c r="AC476" s="8">
        <f t="shared" si="60"/>
        <v>0</v>
      </c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>
        <f>VLOOKUP(B476,[1]Hoja3!J$3:K$674,2,0)</f>
        <v>24083927</v>
      </c>
      <c r="BB476" s="8"/>
      <c r="BC476" s="8">
        <f t="shared" si="61"/>
        <v>24083927</v>
      </c>
      <c r="BD476" s="4"/>
      <c r="BE476" s="4">
        <f t="shared" si="62"/>
        <v>24083927</v>
      </c>
      <c r="BF476" s="30">
        <f t="shared" si="63"/>
        <v>24083927</v>
      </c>
      <c r="BG476" s="18">
        <f t="shared" si="64"/>
        <v>0</v>
      </c>
      <c r="BH476" s="23"/>
      <c r="BI476" s="14"/>
      <c r="BJ476" s="14"/>
      <c r="BK476" s="14"/>
      <c r="BL476" s="14"/>
      <c r="BM476" s="14"/>
      <c r="BN476" s="14"/>
    </row>
    <row r="477" spans="1:66" ht="15" customHeight="1" x14ac:dyDescent="0.2">
      <c r="A477" s="1">
        <v>8915010479</v>
      </c>
      <c r="B477" s="1">
        <v>891501047</v>
      </c>
      <c r="C477" s="15">
        <v>216419364</v>
      </c>
      <c r="D477" s="16" t="s">
        <v>387</v>
      </c>
      <c r="E477" s="41" t="s">
        <v>1417</v>
      </c>
      <c r="F477" s="28"/>
      <c r="G477" s="17"/>
      <c r="H477" s="3"/>
      <c r="I477" s="2"/>
      <c r="J477" s="29"/>
      <c r="K477" s="3"/>
      <c r="L477" s="17"/>
      <c r="M477" s="34"/>
      <c r="N477" s="3"/>
      <c r="O477" s="17"/>
      <c r="P477" s="3"/>
      <c r="Q477" s="2"/>
      <c r="R477" s="3"/>
      <c r="S477" s="3"/>
      <c r="T477" s="17"/>
      <c r="U477" s="8">
        <f t="shared" si="59"/>
        <v>0</v>
      </c>
      <c r="V477" s="8"/>
      <c r="W477" s="8"/>
      <c r="X477" s="8"/>
      <c r="Y477" s="8"/>
      <c r="Z477" s="8"/>
      <c r="AA477" s="8"/>
      <c r="AB477" s="8"/>
      <c r="AC477" s="8">
        <f t="shared" si="60"/>
        <v>0</v>
      </c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>
        <v>186058645</v>
      </c>
      <c r="AZ477" s="8"/>
      <c r="BA477" s="8"/>
      <c r="BB477" s="8"/>
      <c r="BC477" s="8">
        <f t="shared" si="61"/>
        <v>186058645</v>
      </c>
      <c r="BD477" s="4">
        <v>186058645</v>
      </c>
      <c r="BE477" s="4">
        <f t="shared" si="62"/>
        <v>0</v>
      </c>
      <c r="BF477" s="30">
        <f t="shared" si="63"/>
        <v>186058645</v>
      </c>
      <c r="BG477" s="18">
        <f t="shared" si="64"/>
        <v>0</v>
      </c>
      <c r="BH477" s="23"/>
      <c r="BI477" s="14"/>
      <c r="BJ477" s="14"/>
      <c r="BK477" s="14"/>
      <c r="BL477" s="14"/>
      <c r="BM477" s="14"/>
      <c r="BN477" s="14"/>
    </row>
    <row r="478" spans="1:66" ht="15" customHeight="1" x14ac:dyDescent="0.2">
      <c r="A478" s="1">
        <v>8903990460</v>
      </c>
      <c r="B478" s="1">
        <v>890399046</v>
      </c>
      <c r="C478" s="15">
        <v>216476364</v>
      </c>
      <c r="D478" s="16" t="s">
        <v>929</v>
      </c>
      <c r="E478" s="53" t="s">
        <v>1990</v>
      </c>
      <c r="F478" s="28"/>
      <c r="G478" s="2"/>
      <c r="H478" s="3"/>
      <c r="I478" s="2">
        <f>2321777741+63708281</f>
        <v>2385486022</v>
      </c>
      <c r="J478" s="29">
        <v>150132186</v>
      </c>
      <c r="K478" s="3">
        <v>301309010</v>
      </c>
      <c r="L478" s="2"/>
      <c r="M478" s="37">
        <f>SUM(F478:L478)</f>
        <v>2836927218</v>
      </c>
      <c r="N478" s="3"/>
      <c r="O478" s="2"/>
      <c r="P478" s="3"/>
      <c r="Q478" s="2">
        <f>2295438172+28958310</f>
        <v>2324396482</v>
      </c>
      <c r="R478" s="3">
        <v>150132186</v>
      </c>
      <c r="S478" s="3">
        <f>151176824+150132186</f>
        <v>301309010</v>
      </c>
      <c r="T478" s="2"/>
      <c r="U478" s="8">
        <f t="shared" si="59"/>
        <v>5612764896</v>
      </c>
      <c r="V478" s="8"/>
      <c r="W478" s="8"/>
      <c r="X478" s="8"/>
      <c r="Y478" s="8">
        <v>2727465907</v>
      </c>
      <c r="Z478" s="8">
        <v>145598962</v>
      </c>
      <c r="AA478" s="8">
        <v>332829093</v>
      </c>
      <c r="AB478" s="8"/>
      <c r="AC478" s="8">
        <f t="shared" si="60"/>
        <v>8818658858</v>
      </c>
      <c r="AD478" s="8"/>
      <c r="AE478" s="8"/>
      <c r="AF478" s="8"/>
      <c r="AG478" s="8"/>
      <c r="AH478" s="8">
        <v>2271698343</v>
      </c>
      <c r="AI478" s="8">
        <v>352016002</v>
      </c>
      <c r="AJ478" s="8">
        <v>151347302</v>
      </c>
      <c r="AK478" s="8">
        <v>382195693</v>
      </c>
      <c r="AL478" s="8"/>
      <c r="AM478" s="8">
        <v>915181159</v>
      </c>
      <c r="AN478" s="8">
        <f>SUBTOTAL(9,AC478:AM478)</f>
        <v>12891097357</v>
      </c>
      <c r="AO478" s="8"/>
      <c r="AP478" s="8"/>
      <c r="AQ478" s="8">
        <v>427661225</v>
      </c>
      <c r="AR478" s="8"/>
      <c r="AS478" s="8"/>
      <c r="AT478" s="8">
        <v>2271698343</v>
      </c>
      <c r="AU478" s="8"/>
      <c r="AV478" s="8">
        <v>151347302</v>
      </c>
      <c r="AW478" s="8">
        <v>259062729</v>
      </c>
      <c r="AX478" s="8"/>
      <c r="AY478" s="8"/>
      <c r="AZ478" s="8"/>
      <c r="BA478" s="8">
        <f>VLOOKUP(B478,[1]Hoja3!J$3:K$674,2,0)</f>
        <v>509159775</v>
      </c>
      <c r="BB478" s="8"/>
      <c r="BC478" s="8">
        <f t="shared" si="61"/>
        <v>16510026731</v>
      </c>
      <c r="BD478" s="4">
        <v>15085685797</v>
      </c>
      <c r="BE478" s="4">
        <f t="shared" si="62"/>
        <v>1424340934</v>
      </c>
      <c r="BF478" s="30">
        <f t="shared" si="63"/>
        <v>16510026731</v>
      </c>
      <c r="BG478" s="18">
        <f t="shared" si="64"/>
        <v>0</v>
      </c>
      <c r="BH478" s="23"/>
      <c r="BI478" s="23"/>
      <c r="BJ478" s="23"/>
    </row>
    <row r="479" spans="1:66" ht="15" customHeight="1" x14ac:dyDescent="0.2">
      <c r="A479" s="1">
        <v>8909822940</v>
      </c>
      <c r="B479" s="1">
        <v>890982294</v>
      </c>
      <c r="C479" s="15">
        <v>216405364</v>
      </c>
      <c r="D479" s="16" t="s">
        <v>99</v>
      </c>
      <c r="E479" s="41" t="s">
        <v>1130</v>
      </c>
      <c r="F479" s="28"/>
      <c r="G479" s="2"/>
      <c r="H479" s="3"/>
      <c r="I479" s="2"/>
      <c r="J479" s="29"/>
      <c r="K479" s="3"/>
      <c r="L479" s="2"/>
      <c r="M479" s="8"/>
      <c r="N479" s="3"/>
      <c r="O479" s="2"/>
      <c r="P479" s="3"/>
      <c r="Q479" s="2"/>
      <c r="R479" s="3"/>
      <c r="S479" s="3"/>
      <c r="T479" s="2"/>
      <c r="U479" s="8">
        <f t="shared" si="59"/>
        <v>0</v>
      </c>
      <c r="V479" s="8"/>
      <c r="W479" s="8"/>
      <c r="X479" s="8"/>
      <c r="Y479" s="8"/>
      <c r="Z479" s="8"/>
      <c r="AA479" s="8"/>
      <c r="AB479" s="8"/>
      <c r="AC479" s="8">
        <f t="shared" si="60"/>
        <v>0</v>
      </c>
      <c r="AD479" s="8"/>
      <c r="AE479" s="8"/>
      <c r="AF479" s="8"/>
      <c r="AG479" s="8"/>
      <c r="AH479" s="8"/>
      <c r="AI479" s="8"/>
      <c r="AJ479" s="8"/>
      <c r="AK479" s="8"/>
      <c r="AL479" s="8"/>
      <c r="AM479" s="8">
        <v>203725340</v>
      </c>
      <c r="AN479" s="8">
        <f>SUBTOTAL(9,AC479:AM479)</f>
        <v>203725340</v>
      </c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>
        <v>79665525</v>
      </c>
      <c r="AZ479" s="8"/>
      <c r="BA479" s="8"/>
      <c r="BB479" s="8"/>
      <c r="BC479" s="8">
        <f t="shared" si="61"/>
        <v>283390865</v>
      </c>
      <c r="BD479" s="4">
        <v>79665525</v>
      </c>
      <c r="BE479" s="4">
        <f t="shared" si="62"/>
        <v>203725340</v>
      </c>
      <c r="BF479" s="30">
        <f t="shared" si="63"/>
        <v>283390865</v>
      </c>
      <c r="BG479" s="18">
        <f t="shared" si="64"/>
        <v>0</v>
      </c>
      <c r="BH479" s="23"/>
      <c r="BI479" s="23"/>
      <c r="BJ479" s="23"/>
    </row>
    <row r="480" spans="1:66" ht="15" customHeight="1" x14ac:dyDescent="0.2">
      <c r="A480" s="1">
        <v>8918013764</v>
      </c>
      <c r="B480" s="1">
        <v>891801376</v>
      </c>
      <c r="C480" s="15">
        <v>216715367</v>
      </c>
      <c r="D480" s="16" t="s">
        <v>259</v>
      </c>
      <c r="E480" s="41" t="s">
        <v>1260</v>
      </c>
      <c r="F480" s="28"/>
      <c r="G480" s="17"/>
      <c r="H480" s="3"/>
      <c r="I480" s="2"/>
      <c r="J480" s="29"/>
      <c r="K480" s="3"/>
      <c r="L480" s="17"/>
      <c r="M480" s="34"/>
      <c r="N480" s="3"/>
      <c r="O480" s="17"/>
      <c r="P480" s="3"/>
      <c r="Q480" s="2"/>
      <c r="R480" s="3"/>
      <c r="S480" s="3"/>
      <c r="T480" s="17"/>
      <c r="U480" s="8">
        <f t="shared" si="59"/>
        <v>0</v>
      </c>
      <c r="V480" s="8"/>
      <c r="W480" s="8"/>
      <c r="X480" s="8"/>
      <c r="Y480" s="8"/>
      <c r="Z480" s="8"/>
      <c r="AA480" s="8"/>
      <c r="AB480" s="8"/>
      <c r="AC480" s="8">
        <f t="shared" si="60"/>
        <v>0</v>
      </c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>
        <v>46474320</v>
      </c>
      <c r="AZ480" s="8"/>
      <c r="BA480" s="8">
        <f>VLOOKUP(B480,[1]Hoja3!J$3:K$674,2,0)</f>
        <v>99582345</v>
      </c>
      <c r="BB480" s="8"/>
      <c r="BC480" s="8">
        <f t="shared" si="61"/>
        <v>146056665</v>
      </c>
      <c r="BD480" s="4">
        <v>46474320</v>
      </c>
      <c r="BE480" s="4">
        <f t="shared" si="62"/>
        <v>99582345</v>
      </c>
      <c r="BF480" s="30">
        <f t="shared" si="63"/>
        <v>146056665</v>
      </c>
      <c r="BG480" s="18">
        <f t="shared" si="64"/>
        <v>0</v>
      </c>
      <c r="BH480" s="23"/>
      <c r="BI480" s="14"/>
      <c r="BJ480" s="14"/>
      <c r="BK480" s="14"/>
      <c r="BL480" s="14"/>
      <c r="BM480" s="14"/>
      <c r="BN480" s="14"/>
    </row>
    <row r="481" spans="1:66" ht="15" customHeight="1" x14ac:dyDescent="0.2">
      <c r="A481" s="1">
        <v>8909810695</v>
      </c>
      <c r="B481" s="1">
        <v>890981069</v>
      </c>
      <c r="C481" s="15">
        <v>216805368</v>
      </c>
      <c r="D481" s="16" t="s">
        <v>100</v>
      </c>
      <c r="E481" s="41" t="s">
        <v>1131</v>
      </c>
      <c r="F481" s="28"/>
      <c r="G481" s="2"/>
      <c r="H481" s="3"/>
      <c r="I481" s="2"/>
      <c r="J481" s="29"/>
      <c r="K481" s="3"/>
      <c r="L481" s="2"/>
      <c r="M481" s="8"/>
      <c r="N481" s="3"/>
      <c r="O481" s="2"/>
      <c r="P481" s="3"/>
      <c r="Q481" s="2"/>
      <c r="R481" s="3"/>
      <c r="S481" s="3"/>
      <c r="T481" s="2"/>
      <c r="U481" s="8">
        <f t="shared" si="59"/>
        <v>0</v>
      </c>
      <c r="V481" s="8"/>
      <c r="W481" s="8"/>
      <c r="X481" s="8"/>
      <c r="Y481" s="8"/>
      <c r="Z481" s="8"/>
      <c r="AA481" s="8"/>
      <c r="AB481" s="8"/>
      <c r="AC481" s="8">
        <f t="shared" si="60"/>
        <v>0</v>
      </c>
      <c r="AD481" s="8"/>
      <c r="AE481" s="8"/>
      <c r="AF481" s="8"/>
      <c r="AG481" s="8"/>
      <c r="AH481" s="8"/>
      <c r="AI481" s="8"/>
      <c r="AJ481" s="8"/>
      <c r="AK481" s="8"/>
      <c r="AL481" s="8"/>
      <c r="AM481" s="8">
        <v>39824364</v>
      </c>
      <c r="AN481" s="8">
        <f>SUBTOTAL(9,AC481:AM481)</f>
        <v>39824364</v>
      </c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>
        <f>VLOOKUP(B481,[1]Hoja3!J$3:K$674,2,0)</f>
        <v>121591286</v>
      </c>
      <c r="BB481" s="8"/>
      <c r="BC481" s="8">
        <f t="shared" si="61"/>
        <v>161415650</v>
      </c>
      <c r="BD481" s="4"/>
      <c r="BE481" s="4">
        <f t="shared" si="62"/>
        <v>161415650</v>
      </c>
      <c r="BF481" s="30">
        <f t="shared" si="63"/>
        <v>161415650</v>
      </c>
      <c r="BG481" s="18">
        <f t="shared" si="64"/>
        <v>0</v>
      </c>
      <c r="BH481" s="23"/>
      <c r="BI481" s="23"/>
      <c r="BJ481" s="23"/>
    </row>
    <row r="482" spans="1:66" ht="15" customHeight="1" x14ac:dyDescent="0.2">
      <c r="A482" s="1">
        <v>8918565932</v>
      </c>
      <c r="B482" s="1">
        <v>891856593</v>
      </c>
      <c r="C482" s="15">
        <v>216815368</v>
      </c>
      <c r="D482" s="16" t="s">
        <v>260</v>
      </c>
      <c r="E482" s="41" t="s">
        <v>1294</v>
      </c>
      <c r="F482" s="28"/>
      <c r="G482" s="17"/>
      <c r="H482" s="3"/>
      <c r="I482" s="2"/>
      <c r="J482" s="29"/>
      <c r="K482" s="3"/>
      <c r="L482" s="17"/>
      <c r="M482" s="34"/>
      <c r="N482" s="3"/>
      <c r="O482" s="17"/>
      <c r="P482" s="3"/>
      <c r="Q482" s="2"/>
      <c r="R482" s="3"/>
      <c r="S482" s="3"/>
      <c r="T482" s="17"/>
      <c r="U482" s="8">
        <f t="shared" si="59"/>
        <v>0</v>
      </c>
      <c r="V482" s="8"/>
      <c r="W482" s="8"/>
      <c r="X482" s="8"/>
      <c r="Y482" s="8"/>
      <c r="Z482" s="8"/>
      <c r="AA482" s="8"/>
      <c r="AB482" s="8"/>
      <c r="AC482" s="8">
        <f t="shared" si="60"/>
        <v>0</v>
      </c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>
        <v>38683465</v>
      </c>
      <c r="AZ482" s="8"/>
      <c r="BA482" s="8">
        <f>VLOOKUP(B482,[1]Hoja3!J$3:K$674,2,0)</f>
        <v>55420269</v>
      </c>
      <c r="BB482" s="8"/>
      <c r="BC482" s="8">
        <f t="shared" si="61"/>
        <v>94103734</v>
      </c>
      <c r="BD482" s="4">
        <v>38683465</v>
      </c>
      <c r="BE482" s="4">
        <f t="shared" si="62"/>
        <v>55420269</v>
      </c>
      <c r="BF482" s="30">
        <f t="shared" si="63"/>
        <v>94103734</v>
      </c>
      <c r="BG482" s="18">
        <f t="shared" si="64"/>
        <v>0</v>
      </c>
      <c r="BH482" s="23"/>
      <c r="BI482" s="14"/>
      <c r="BJ482" s="14"/>
      <c r="BK482" s="14"/>
      <c r="BL482" s="14"/>
      <c r="BM482" s="14"/>
      <c r="BN482" s="14"/>
    </row>
    <row r="483" spans="1:66" ht="15" customHeight="1" x14ac:dyDescent="0.2">
      <c r="A483" s="1">
        <v>8000040182</v>
      </c>
      <c r="B483" s="1">
        <v>800004018</v>
      </c>
      <c r="C483" s="15">
        <v>216825368</v>
      </c>
      <c r="D483" s="16" t="s">
        <v>502</v>
      </c>
      <c r="E483" s="41" t="s">
        <v>1529</v>
      </c>
      <c r="F483" s="28"/>
      <c r="G483" s="2"/>
      <c r="H483" s="3"/>
      <c r="I483" s="2"/>
      <c r="J483" s="29"/>
      <c r="K483" s="3"/>
      <c r="L483" s="2"/>
      <c r="M483" s="8"/>
      <c r="N483" s="3"/>
      <c r="O483" s="2"/>
      <c r="P483" s="3"/>
      <c r="Q483" s="2"/>
      <c r="R483" s="3"/>
      <c r="S483" s="3"/>
      <c r="T483" s="2"/>
      <c r="U483" s="8">
        <f t="shared" si="59"/>
        <v>0</v>
      </c>
      <c r="V483" s="8"/>
      <c r="W483" s="8"/>
      <c r="X483" s="8"/>
      <c r="Y483" s="8"/>
      <c r="Z483" s="8"/>
      <c r="AA483" s="8"/>
      <c r="AB483" s="8"/>
      <c r="AC483" s="8">
        <f t="shared" si="60"/>
        <v>0</v>
      </c>
      <c r="AD483" s="8"/>
      <c r="AE483" s="8"/>
      <c r="AF483" s="8"/>
      <c r="AG483" s="8"/>
      <c r="AH483" s="8"/>
      <c r="AI483" s="8"/>
      <c r="AJ483" s="8"/>
      <c r="AK483" s="8"/>
      <c r="AL483" s="8"/>
      <c r="AM483" s="8">
        <v>34335752</v>
      </c>
      <c r="AN483" s="8">
        <f>SUBTOTAL(9,AC483:AM483)</f>
        <v>34335752</v>
      </c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>
        <v>21090970</v>
      </c>
      <c r="AZ483" s="8"/>
      <c r="BA483" s="8"/>
      <c r="BB483" s="8"/>
      <c r="BC483" s="8">
        <f t="shared" si="61"/>
        <v>55426722</v>
      </c>
      <c r="BD483" s="4">
        <v>21090970</v>
      </c>
      <c r="BE483" s="4">
        <f t="shared" si="62"/>
        <v>34335752</v>
      </c>
      <c r="BF483" s="30">
        <f t="shared" si="63"/>
        <v>55426722</v>
      </c>
      <c r="BG483" s="18">
        <f t="shared" si="64"/>
        <v>0</v>
      </c>
      <c r="BH483" s="23"/>
      <c r="BI483" s="23"/>
      <c r="BJ483" s="23"/>
    </row>
    <row r="484" spans="1:66" ht="15" customHeight="1" x14ac:dyDescent="0.2">
      <c r="A484" s="1">
        <v>8902109462</v>
      </c>
      <c r="B484" s="1">
        <v>890210946</v>
      </c>
      <c r="C484" s="15">
        <v>216868368</v>
      </c>
      <c r="D484" s="16" t="s">
        <v>848</v>
      </c>
      <c r="E484" s="41" t="s">
        <v>1864</v>
      </c>
      <c r="F484" s="28"/>
      <c r="G484" s="2"/>
      <c r="H484" s="3"/>
      <c r="I484" s="2"/>
      <c r="J484" s="29"/>
      <c r="K484" s="3"/>
      <c r="L484" s="2"/>
      <c r="M484" s="8"/>
      <c r="N484" s="3"/>
      <c r="O484" s="2"/>
      <c r="P484" s="3"/>
      <c r="Q484" s="2"/>
      <c r="R484" s="3"/>
      <c r="S484" s="3"/>
      <c r="T484" s="2"/>
      <c r="U484" s="8">
        <f t="shared" si="59"/>
        <v>0</v>
      </c>
      <c r="V484" s="8"/>
      <c r="W484" s="8"/>
      <c r="X484" s="8"/>
      <c r="Y484" s="8"/>
      <c r="Z484" s="8"/>
      <c r="AA484" s="8"/>
      <c r="AB484" s="8"/>
      <c r="AC484" s="8">
        <f t="shared" si="60"/>
        <v>0</v>
      </c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>
        <v>26817445</v>
      </c>
      <c r="AZ484" s="8"/>
      <c r="BA484" s="8">
        <f>VLOOKUP(B484,[1]Hoja3!J$3:K$674,2,0)</f>
        <v>49834189</v>
      </c>
      <c r="BB484" s="8"/>
      <c r="BC484" s="8">
        <f t="shared" si="61"/>
        <v>76651634</v>
      </c>
      <c r="BD484" s="4">
        <v>26817445</v>
      </c>
      <c r="BE484" s="4">
        <f t="shared" si="62"/>
        <v>49834189</v>
      </c>
      <c r="BF484" s="30">
        <f t="shared" si="63"/>
        <v>76651634</v>
      </c>
      <c r="BG484" s="18">
        <f t="shared" si="64"/>
        <v>0</v>
      </c>
      <c r="BH484" s="23"/>
      <c r="BI484" s="23"/>
      <c r="BJ484" s="23"/>
    </row>
    <row r="485" spans="1:66" ht="15" customHeight="1" x14ac:dyDescent="0.2">
      <c r="A485" s="1">
        <v>8001241669</v>
      </c>
      <c r="B485" s="1">
        <v>800124166</v>
      </c>
      <c r="C485" s="15">
        <v>217068370</v>
      </c>
      <c r="D485" s="16" t="s">
        <v>849</v>
      </c>
      <c r="E485" s="41" t="s">
        <v>1865</v>
      </c>
      <c r="F485" s="28"/>
      <c r="G485" s="2"/>
      <c r="H485" s="3"/>
      <c r="I485" s="2"/>
      <c r="J485" s="29"/>
      <c r="K485" s="3"/>
      <c r="L485" s="2"/>
      <c r="M485" s="8"/>
      <c r="N485" s="3"/>
      <c r="O485" s="2"/>
      <c r="P485" s="3"/>
      <c r="Q485" s="2"/>
      <c r="R485" s="3"/>
      <c r="S485" s="3"/>
      <c r="T485" s="2"/>
      <c r="U485" s="8">
        <f t="shared" si="59"/>
        <v>0</v>
      </c>
      <c r="V485" s="8"/>
      <c r="W485" s="8"/>
      <c r="X485" s="8"/>
      <c r="Y485" s="8"/>
      <c r="Z485" s="8"/>
      <c r="AA485" s="8"/>
      <c r="AB485" s="8"/>
      <c r="AC485" s="8">
        <f t="shared" si="60"/>
        <v>0</v>
      </c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>
        <f>VLOOKUP(B485,[1]Hoja3!J$3:K$674,2,0)</f>
        <v>24993711</v>
      </c>
      <c r="BB485" s="8"/>
      <c r="BC485" s="8">
        <f t="shared" si="61"/>
        <v>24993711</v>
      </c>
      <c r="BD485" s="4"/>
      <c r="BE485" s="4">
        <f t="shared" si="62"/>
        <v>24993711</v>
      </c>
      <c r="BF485" s="30">
        <f t="shared" si="63"/>
        <v>24993711</v>
      </c>
      <c r="BG485" s="18">
        <f t="shared" si="64"/>
        <v>0</v>
      </c>
      <c r="BH485" s="23"/>
      <c r="BI485" s="23"/>
      <c r="BJ485" s="23"/>
    </row>
    <row r="486" spans="1:66" ht="15" customHeight="1" x14ac:dyDescent="0.2">
      <c r="A486" s="1">
        <v>8000699010</v>
      </c>
      <c r="B486" s="1">
        <v>800069901</v>
      </c>
      <c r="C486" s="15">
        <v>217208372</v>
      </c>
      <c r="D486" s="16" t="s">
        <v>165</v>
      </c>
      <c r="E486" s="41" t="s">
        <v>1193</v>
      </c>
      <c r="F486" s="28"/>
      <c r="G486" s="2"/>
      <c r="H486" s="3"/>
      <c r="I486" s="2"/>
      <c r="J486" s="29"/>
      <c r="K486" s="3"/>
      <c r="L486" s="2"/>
      <c r="M486" s="8"/>
      <c r="N486" s="3"/>
      <c r="O486" s="2"/>
      <c r="P486" s="3"/>
      <c r="Q486" s="2"/>
      <c r="R486" s="3"/>
      <c r="S486" s="3"/>
      <c r="T486" s="2"/>
      <c r="U486" s="8">
        <f t="shared" si="59"/>
        <v>0</v>
      </c>
      <c r="V486" s="8"/>
      <c r="W486" s="8"/>
      <c r="X486" s="8"/>
      <c r="Y486" s="8"/>
      <c r="Z486" s="8"/>
      <c r="AA486" s="8"/>
      <c r="AB486" s="8"/>
      <c r="AC486" s="8">
        <f t="shared" si="60"/>
        <v>0</v>
      </c>
      <c r="AD486" s="8"/>
      <c r="AE486" s="8"/>
      <c r="AF486" s="8"/>
      <c r="AG486" s="8"/>
      <c r="AH486" s="8"/>
      <c r="AI486" s="8"/>
      <c r="AJ486" s="8"/>
      <c r="AK486" s="8"/>
      <c r="AL486" s="8"/>
      <c r="AM486" s="8">
        <v>21529099</v>
      </c>
      <c r="AN486" s="8">
        <f>SUBTOTAL(9,AC486:AM486)</f>
        <v>21529099</v>
      </c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>
        <v>100286040</v>
      </c>
      <c r="AZ486" s="8"/>
      <c r="BA486" s="8">
        <f>VLOOKUP(B486,[1]Hoja3!J$3:K$674,2,0)</f>
        <v>273507363</v>
      </c>
      <c r="BB486" s="8"/>
      <c r="BC486" s="8">
        <f t="shared" si="61"/>
        <v>395322502</v>
      </c>
      <c r="BD486" s="4">
        <v>100286040</v>
      </c>
      <c r="BE486" s="4">
        <f t="shared" si="62"/>
        <v>295036462</v>
      </c>
      <c r="BF486" s="30">
        <f t="shared" si="63"/>
        <v>395322502</v>
      </c>
      <c r="BG486" s="18">
        <f t="shared" si="64"/>
        <v>0</v>
      </c>
      <c r="BH486" s="23"/>
      <c r="BI486" s="23"/>
      <c r="BJ486" s="23"/>
    </row>
    <row r="487" spans="1:66" ht="15" customHeight="1" x14ac:dyDescent="0.2">
      <c r="A487" s="1">
        <v>8000947059</v>
      </c>
      <c r="B487" s="1">
        <v>800094705</v>
      </c>
      <c r="C487" s="15">
        <v>217225372</v>
      </c>
      <c r="D487" s="16" t="s">
        <v>503</v>
      </c>
      <c r="E487" s="41" t="s">
        <v>1530</v>
      </c>
      <c r="F487" s="28"/>
      <c r="G487" s="2"/>
      <c r="H487" s="3"/>
      <c r="I487" s="2"/>
      <c r="J487" s="29"/>
      <c r="K487" s="3"/>
      <c r="L487" s="2"/>
      <c r="M487" s="8"/>
      <c r="N487" s="3"/>
      <c r="O487" s="2"/>
      <c r="P487" s="3"/>
      <c r="Q487" s="2"/>
      <c r="R487" s="3"/>
      <c r="S487" s="3"/>
      <c r="T487" s="2"/>
      <c r="U487" s="8">
        <f t="shared" si="59"/>
        <v>0</v>
      </c>
      <c r="V487" s="8"/>
      <c r="W487" s="8"/>
      <c r="X487" s="8"/>
      <c r="Y487" s="8"/>
      <c r="Z487" s="8"/>
      <c r="AA487" s="8"/>
      <c r="AB487" s="8"/>
      <c r="AC487" s="8">
        <f t="shared" si="60"/>
        <v>0</v>
      </c>
      <c r="AD487" s="8"/>
      <c r="AE487" s="8"/>
      <c r="AF487" s="8"/>
      <c r="AG487" s="8"/>
      <c r="AH487" s="8"/>
      <c r="AI487" s="8"/>
      <c r="AJ487" s="8"/>
      <c r="AK487" s="8"/>
      <c r="AL487" s="8"/>
      <c r="AM487" s="8">
        <v>82198315</v>
      </c>
      <c r="AN487" s="8">
        <f>SUBTOTAL(9,AC487:AM487)</f>
        <v>82198315</v>
      </c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>
        <f t="shared" si="61"/>
        <v>82198315</v>
      </c>
      <c r="BD487" s="4"/>
      <c r="BE487" s="4">
        <f t="shared" si="62"/>
        <v>82198315</v>
      </c>
      <c r="BF487" s="30">
        <f t="shared" si="63"/>
        <v>82198315</v>
      </c>
      <c r="BG487" s="18">
        <f t="shared" si="64"/>
        <v>0</v>
      </c>
      <c r="BH487" s="23"/>
      <c r="BI487" s="23"/>
      <c r="BJ487" s="23"/>
    </row>
    <row r="488" spans="1:66" ht="15" customHeight="1" x14ac:dyDescent="0.2">
      <c r="A488" s="1">
        <v>8916804027</v>
      </c>
      <c r="B488" s="1">
        <v>891680402</v>
      </c>
      <c r="C488" s="15">
        <v>217227372</v>
      </c>
      <c r="D488" s="16" t="s">
        <v>580</v>
      </c>
      <c r="E488" s="41" t="s">
        <v>1601</v>
      </c>
      <c r="F488" s="28"/>
      <c r="G488" s="2"/>
      <c r="H488" s="3"/>
      <c r="I488" s="2"/>
      <c r="J488" s="29"/>
      <c r="K488" s="3"/>
      <c r="L488" s="2"/>
      <c r="M488" s="8"/>
      <c r="N488" s="3"/>
      <c r="O488" s="2"/>
      <c r="P488" s="3"/>
      <c r="Q488" s="2"/>
      <c r="R488" s="3"/>
      <c r="S488" s="3"/>
      <c r="T488" s="2"/>
      <c r="U488" s="8">
        <f t="shared" si="59"/>
        <v>0</v>
      </c>
      <c r="V488" s="8"/>
      <c r="W488" s="8"/>
      <c r="X488" s="8"/>
      <c r="Y488" s="8"/>
      <c r="Z488" s="8"/>
      <c r="AA488" s="8"/>
      <c r="AB488" s="8"/>
      <c r="AC488" s="8">
        <f t="shared" si="60"/>
        <v>0</v>
      </c>
      <c r="AD488" s="8"/>
      <c r="AE488" s="8"/>
      <c r="AF488" s="8"/>
      <c r="AG488" s="8"/>
      <c r="AH488" s="8"/>
      <c r="AI488" s="8"/>
      <c r="AJ488" s="8"/>
      <c r="AK488" s="8"/>
      <c r="AL488" s="8"/>
      <c r="AM488" s="8">
        <v>38646451</v>
      </c>
      <c r="AN488" s="8">
        <f>SUBTOTAL(9,AC488:AM488)</f>
        <v>38646451</v>
      </c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>
        <v>70160265</v>
      </c>
      <c r="AZ488" s="8"/>
      <c r="BA488" s="8"/>
      <c r="BB488" s="8"/>
      <c r="BC488" s="8">
        <f t="shared" si="61"/>
        <v>108806716</v>
      </c>
      <c r="BD488" s="4">
        <v>70160265</v>
      </c>
      <c r="BE488" s="4">
        <f t="shared" si="62"/>
        <v>38646451</v>
      </c>
      <c r="BF488" s="30">
        <f t="shared" si="63"/>
        <v>108806716</v>
      </c>
      <c r="BG488" s="18">
        <f t="shared" si="64"/>
        <v>0</v>
      </c>
      <c r="BH488" s="23"/>
      <c r="BI488" s="23"/>
      <c r="BJ488" s="23"/>
    </row>
    <row r="489" spans="1:66" ht="15" customHeight="1" x14ac:dyDescent="0.2">
      <c r="A489" s="1">
        <v>8120016816</v>
      </c>
      <c r="B489" s="1">
        <v>812001681</v>
      </c>
      <c r="C489" s="15">
        <v>215023350</v>
      </c>
      <c r="D489" s="16" t="s">
        <v>445</v>
      </c>
      <c r="E489" s="41" t="s">
        <v>1472</v>
      </c>
      <c r="F489" s="28"/>
      <c r="G489" s="2"/>
      <c r="H489" s="3"/>
      <c r="I489" s="2"/>
      <c r="J489" s="29"/>
      <c r="K489" s="3"/>
      <c r="L489" s="2"/>
      <c r="M489" s="8"/>
      <c r="N489" s="3"/>
      <c r="O489" s="2"/>
      <c r="P489" s="3"/>
      <c r="Q489" s="2"/>
      <c r="R489" s="3"/>
      <c r="S489" s="3"/>
      <c r="T489" s="2"/>
      <c r="U489" s="8">
        <f t="shared" si="59"/>
        <v>0</v>
      </c>
      <c r="V489" s="8"/>
      <c r="W489" s="8"/>
      <c r="X489" s="8"/>
      <c r="Y489" s="8"/>
      <c r="Z489" s="8"/>
      <c r="AA489" s="8"/>
      <c r="AB489" s="8"/>
      <c r="AC489" s="8">
        <f t="shared" si="60"/>
        <v>0</v>
      </c>
      <c r="AD489" s="8"/>
      <c r="AE489" s="8"/>
      <c r="AF489" s="8"/>
      <c r="AG489" s="8"/>
      <c r="AH489" s="8"/>
      <c r="AI489" s="8"/>
      <c r="AJ489" s="8"/>
      <c r="AK489" s="8"/>
      <c r="AL489" s="8"/>
      <c r="AM489" s="8">
        <v>218579262</v>
      </c>
      <c r="AN489" s="8">
        <f>SUBTOTAL(9,AC489:AM489)</f>
        <v>218579262</v>
      </c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>
        <v>118815650</v>
      </c>
      <c r="AZ489" s="8"/>
      <c r="BA489" s="8"/>
      <c r="BB489" s="8">
        <f>VLOOKUP(B489,'[2]anuladas en mayo gratuidad}'!K$2:L$55,2,0)</f>
        <v>74298192</v>
      </c>
      <c r="BC489" s="8">
        <f t="shared" si="61"/>
        <v>263096720</v>
      </c>
      <c r="BD489" s="4">
        <v>118815650</v>
      </c>
      <c r="BE489" s="4">
        <f t="shared" si="62"/>
        <v>144281070</v>
      </c>
      <c r="BF489" s="30">
        <f t="shared" si="63"/>
        <v>263096720</v>
      </c>
      <c r="BG489" s="18">
        <f t="shared" si="64"/>
        <v>0</v>
      </c>
      <c r="BH489" s="23"/>
      <c r="BI489" s="23"/>
      <c r="BJ489" s="23"/>
    </row>
    <row r="490" spans="1:66" ht="15" customHeight="1" x14ac:dyDescent="0.2">
      <c r="A490" s="1">
        <v>8911802057</v>
      </c>
      <c r="B490" s="1">
        <v>891180205</v>
      </c>
      <c r="C490" s="15">
        <v>217841378</v>
      </c>
      <c r="D490" s="16" t="s">
        <v>608</v>
      </c>
      <c r="E490" s="41" t="s">
        <v>1628</v>
      </c>
      <c r="F490" s="28"/>
      <c r="G490" s="2"/>
      <c r="H490" s="3"/>
      <c r="I490" s="2"/>
      <c r="J490" s="29"/>
      <c r="K490" s="3"/>
      <c r="L490" s="2"/>
      <c r="M490" s="8"/>
      <c r="N490" s="3"/>
      <c r="O490" s="2"/>
      <c r="P490" s="3"/>
      <c r="Q490" s="2"/>
      <c r="R490" s="3"/>
      <c r="S490" s="3"/>
      <c r="T490" s="2"/>
      <c r="U490" s="8">
        <f t="shared" si="59"/>
        <v>0</v>
      </c>
      <c r="V490" s="8"/>
      <c r="W490" s="8"/>
      <c r="X490" s="8"/>
      <c r="Y490" s="8"/>
      <c r="Z490" s="8"/>
      <c r="AA490" s="8"/>
      <c r="AB490" s="8"/>
      <c r="AC490" s="8">
        <f t="shared" si="60"/>
        <v>0</v>
      </c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>
        <v>102789635</v>
      </c>
      <c r="AZ490" s="8"/>
      <c r="BA490" s="8">
        <f>VLOOKUP(B490,[1]Hoja3!J$3:K$674,2,0)</f>
        <v>223449780</v>
      </c>
      <c r="BB490" s="8"/>
      <c r="BC490" s="8">
        <f t="shared" si="61"/>
        <v>326239415</v>
      </c>
      <c r="BD490" s="4">
        <v>102789635</v>
      </c>
      <c r="BE490" s="4">
        <f t="shared" si="62"/>
        <v>223449780</v>
      </c>
      <c r="BF490" s="30">
        <f t="shared" si="63"/>
        <v>326239415</v>
      </c>
      <c r="BG490" s="18">
        <f t="shared" si="64"/>
        <v>0</v>
      </c>
      <c r="BH490" s="23"/>
      <c r="BI490" s="23"/>
      <c r="BJ490" s="23"/>
    </row>
    <row r="491" spans="1:66" ht="15" customHeight="1" x14ac:dyDescent="0.2">
      <c r="A491" s="1">
        <v>8902106174</v>
      </c>
      <c r="B491" s="1">
        <v>890210617</v>
      </c>
      <c r="C491" s="15">
        <v>217768377</v>
      </c>
      <c r="D491" s="16" t="s">
        <v>850</v>
      </c>
      <c r="E491" s="58" t="s">
        <v>2105</v>
      </c>
      <c r="F491" s="28"/>
      <c r="G491" s="2"/>
      <c r="H491" s="3"/>
      <c r="I491" s="2"/>
      <c r="J491" s="29"/>
      <c r="K491" s="3"/>
      <c r="L491" s="2"/>
      <c r="M491" s="8"/>
      <c r="N491" s="3"/>
      <c r="O491" s="2"/>
      <c r="P491" s="3"/>
      <c r="Q491" s="2"/>
      <c r="R491" s="3"/>
      <c r="S491" s="3"/>
      <c r="T491" s="2"/>
      <c r="U491" s="8">
        <f t="shared" si="59"/>
        <v>0</v>
      </c>
      <c r="V491" s="8"/>
      <c r="W491" s="8"/>
      <c r="X491" s="8"/>
      <c r="Y491" s="8"/>
      <c r="Z491" s="8"/>
      <c r="AA491" s="8"/>
      <c r="AB491" s="8"/>
      <c r="AC491" s="8">
        <f t="shared" si="60"/>
        <v>0</v>
      </c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>
        <v>45993305</v>
      </c>
      <c r="AZ491" s="8"/>
      <c r="BA491" s="8">
        <f>VLOOKUP(B491,[1]Hoja3!J$3:K$674,2,0)</f>
        <v>106286840</v>
      </c>
      <c r="BB491" s="8"/>
      <c r="BC491" s="8">
        <f t="shared" si="61"/>
        <v>152280145</v>
      </c>
      <c r="BD491" s="4">
        <v>45993305</v>
      </c>
      <c r="BE491" s="4">
        <f t="shared" si="62"/>
        <v>106286840</v>
      </c>
      <c r="BF491" s="30">
        <f t="shared" si="63"/>
        <v>152280145</v>
      </c>
      <c r="BG491" s="18">
        <f t="shared" si="64"/>
        <v>0</v>
      </c>
      <c r="BH491" s="23"/>
      <c r="BI491" s="23"/>
      <c r="BJ491" s="23"/>
    </row>
    <row r="492" spans="1:66" ht="15" customHeight="1" x14ac:dyDescent="0.2">
      <c r="A492" s="1">
        <v>8999997125</v>
      </c>
      <c r="B492" s="1">
        <v>899999712</v>
      </c>
      <c r="C492" s="15">
        <v>217725377</v>
      </c>
      <c r="D492" s="16" t="s">
        <v>504</v>
      </c>
      <c r="E492" s="41" t="s">
        <v>2094</v>
      </c>
      <c r="F492" s="28"/>
      <c r="G492" s="2"/>
      <c r="H492" s="3"/>
      <c r="I492" s="2"/>
      <c r="J492" s="29"/>
      <c r="K492" s="3"/>
      <c r="L492" s="2"/>
      <c r="M492" s="8"/>
      <c r="N492" s="3"/>
      <c r="O492" s="2"/>
      <c r="P492" s="3"/>
      <c r="Q492" s="2"/>
      <c r="R492" s="3"/>
      <c r="S492" s="3"/>
      <c r="T492" s="2"/>
      <c r="U492" s="8">
        <f t="shared" si="59"/>
        <v>0</v>
      </c>
      <c r="V492" s="8"/>
      <c r="W492" s="8"/>
      <c r="X492" s="8"/>
      <c r="Y492" s="8"/>
      <c r="Z492" s="8"/>
      <c r="AA492" s="8"/>
      <c r="AB492" s="8"/>
      <c r="AC492" s="8">
        <f t="shared" si="60"/>
        <v>0</v>
      </c>
      <c r="AD492" s="8"/>
      <c r="AE492" s="8"/>
      <c r="AF492" s="8"/>
      <c r="AG492" s="8"/>
      <c r="AH492" s="8"/>
      <c r="AI492" s="8"/>
      <c r="AJ492" s="8"/>
      <c r="AK492" s="8"/>
      <c r="AL492" s="8"/>
      <c r="AM492" s="8">
        <v>272086136</v>
      </c>
      <c r="AN492" s="8">
        <f>SUBTOTAL(9,AC492:AM492)</f>
        <v>272086136</v>
      </c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>
        <v>107141970</v>
      </c>
      <c r="AZ492" s="8"/>
      <c r="BA492" s="8"/>
      <c r="BB492" s="8"/>
      <c r="BC492" s="8">
        <f t="shared" si="61"/>
        <v>379228106</v>
      </c>
      <c r="BD492" s="4">
        <v>107141970</v>
      </c>
      <c r="BE492" s="4">
        <f t="shared" si="62"/>
        <v>272086136</v>
      </c>
      <c r="BF492" s="30">
        <f t="shared" si="63"/>
        <v>379228106</v>
      </c>
      <c r="BG492" s="18">
        <f t="shared" si="64"/>
        <v>0</v>
      </c>
      <c r="BH492" s="23"/>
      <c r="BI492" s="23"/>
      <c r="BJ492" s="23"/>
    </row>
    <row r="493" spans="1:66" ht="15" customHeight="1" x14ac:dyDescent="0.2">
      <c r="A493" s="1">
        <v>8000996655</v>
      </c>
      <c r="B493" s="1">
        <v>800099665</v>
      </c>
      <c r="C493" s="15">
        <v>218015380</v>
      </c>
      <c r="D493" s="16" t="s">
        <v>262</v>
      </c>
      <c r="E493" s="41" t="s">
        <v>1296</v>
      </c>
      <c r="F493" s="28"/>
      <c r="G493" s="17"/>
      <c r="H493" s="3"/>
      <c r="I493" s="2"/>
      <c r="J493" s="29"/>
      <c r="K493" s="3"/>
      <c r="L493" s="17"/>
      <c r="M493" s="34"/>
      <c r="N493" s="3"/>
      <c r="O493" s="17"/>
      <c r="P493" s="3"/>
      <c r="Q493" s="2"/>
      <c r="R493" s="3"/>
      <c r="S493" s="3"/>
      <c r="T493" s="17"/>
      <c r="U493" s="8">
        <f t="shared" si="59"/>
        <v>0</v>
      </c>
      <c r="V493" s="8"/>
      <c r="W493" s="8"/>
      <c r="X493" s="8"/>
      <c r="Y493" s="8"/>
      <c r="Z493" s="8"/>
      <c r="AA493" s="8"/>
      <c r="AB493" s="8"/>
      <c r="AC493" s="8">
        <f t="shared" si="60"/>
        <v>0</v>
      </c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>
        <v>15661275</v>
      </c>
      <c r="AZ493" s="8"/>
      <c r="BA493" s="8">
        <f>VLOOKUP(B493,[1]Hoja3!J$3:K$674,2,0)</f>
        <v>31869552</v>
      </c>
      <c r="BB493" s="8"/>
      <c r="BC493" s="8">
        <f t="shared" si="61"/>
        <v>47530827</v>
      </c>
      <c r="BD493" s="4">
        <v>15661275</v>
      </c>
      <c r="BE493" s="4">
        <f t="shared" si="62"/>
        <v>31869552</v>
      </c>
      <c r="BF493" s="30">
        <f t="shared" si="63"/>
        <v>47530827</v>
      </c>
      <c r="BG493" s="18">
        <f t="shared" si="64"/>
        <v>0</v>
      </c>
      <c r="BH493" s="23"/>
      <c r="BI493" s="14"/>
      <c r="BJ493" s="14"/>
      <c r="BK493" s="14"/>
      <c r="BL493" s="14"/>
      <c r="BM493" s="14"/>
      <c r="BN493" s="14"/>
    </row>
    <row r="494" spans="1:66" ht="15" customHeight="1" x14ac:dyDescent="0.2">
      <c r="A494" s="1">
        <v>8909812075</v>
      </c>
      <c r="B494" s="1">
        <v>890981207</v>
      </c>
      <c r="C494" s="15">
        <v>217605376</v>
      </c>
      <c r="D494" s="16" t="s">
        <v>101</v>
      </c>
      <c r="E494" s="41" t="s">
        <v>1132</v>
      </c>
      <c r="F494" s="28"/>
      <c r="G494" s="2"/>
      <c r="H494" s="3"/>
      <c r="I494" s="2"/>
      <c r="J494" s="29"/>
      <c r="K494" s="3"/>
      <c r="L494" s="2"/>
      <c r="M494" s="8"/>
      <c r="N494" s="3"/>
      <c r="O494" s="2"/>
      <c r="P494" s="3"/>
      <c r="Q494" s="2"/>
      <c r="R494" s="3"/>
      <c r="S494" s="3"/>
      <c r="T494" s="2"/>
      <c r="U494" s="8">
        <f t="shared" si="59"/>
        <v>0</v>
      </c>
      <c r="V494" s="8"/>
      <c r="W494" s="8"/>
      <c r="X494" s="8"/>
      <c r="Y494" s="8"/>
      <c r="Z494" s="8"/>
      <c r="AA494" s="8"/>
      <c r="AB494" s="8"/>
      <c r="AC494" s="8">
        <f t="shared" si="60"/>
        <v>0</v>
      </c>
      <c r="AD494" s="8"/>
      <c r="AE494" s="8"/>
      <c r="AF494" s="8"/>
      <c r="AG494" s="8"/>
      <c r="AH494" s="8"/>
      <c r="AI494" s="8"/>
      <c r="AJ494" s="8"/>
      <c r="AK494" s="8"/>
      <c r="AL494" s="8"/>
      <c r="AM494" s="8">
        <v>355744142</v>
      </c>
      <c r="AN494" s="8">
        <f>SUBTOTAL(9,AC494:AM494)</f>
        <v>355744142</v>
      </c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>
        <v>252111705</v>
      </c>
      <c r="AZ494" s="8"/>
      <c r="BA494" s="8">
        <f>VLOOKUP(B494,[1]Hoja3!J$3:K$674,2,0)</f>
        <v>299454394</v>
      </c>
      <c r="BB494" s="8">
        <f>VLOOKUP(B494,'[2]anuladas en mayo gratuidad}'!K$2:L$55,2,0)</f>
        <v>41277828</v>
      </c>
      <c r="BC494" s="8">
        <f t="shared" si="61"/>
        <v>866032413</v>
      </c>
      <c r="BD494" s="4">
        <v>252111705</v>
      </c>
      <c r="BE494" s="4">
        <f t="shared" si="62"/>
        <v>613920708</v>
      </c>
      <c r="BF494" s="30">
        <f t="shared" si="63"/>
        <v>866032413</v>
      </c>
      <c r="BG494" s="18">
        <f t="shared" si="64"/>
        <v>0</v>
      </c>
      <c r="BH494" s="23"/>
      <c r="BI494" s="23"/>
      <c r="BJ494" s="23"/>
    </row>
    <row r="495" spans="1:66" ht="15" customHeight="1" x14ac:dyDescent="0.2">
      <c r="A495" s="1">
        <v>8914800262</v>
      </c>
      <c r="B495" s="1">
        <v>891480026</v>
      </c>
      <c r="C495" s="15">
        <v>218366383</v>
      </c>
      <c r="D495" s="16" t="s">
        <v>804</v>
      </c>
      <c r="E495" s="41" t="s">
        <v>1822</v>
      </c>
      <c r="F495" s="28"/>
      <c r="G495" s="2"/>
      <c r="H495" s="3"/>
      <c r="I495" s="2"/>
      <c r="J495" s="29"/>
      <c r="K495" s="3"/>
      <c r="L495" s="2"/>
      <c r="M495" s="8"/>
      <c r="N495" s="3"/>
      <c r="O495" s="2"/>
      <c r="P495" s="3"/>
      <c r="Q495" s="2"/>
      <c r="R495" s="3"/>
      <c r="S495" s="3"/>
      <c r="T495" s="2"/>
      <c r="U495" s="8">
        <f t="shared" si="59"/>
        <v>0</v>
      </c>
      <c r="V495" s="8"/>
      <c r="W495" s="8"/>
      <c r="X495" s="8"/>
      <c r="Y495" s="8"/>
      <c r="Z495" s="8"/>
      <c r="AA495" s="8"/>
      <c r="AB495" s="8"/>
      <c r="AC495" s="8">
        <f t="shared" si="60"/>
        <v>0</v>
      </c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>
        <v>54791290</v>
      </c>
      <c r="AZ495" s="8"/>
      <c r="BA495" s="8">
        <f>VLOOKUP(B495,[1]Hoja3!J$3:K$674,2,0)</f>
        <v>83513234</v>
      </c>
      <c r="BB495" s="8"/>
      <c r="BC495" s="8">
        <f t="shared" si="61"/>
        <v>138304524</v>
      </c>
      <c r="BD495" s="4">
        <v>54791290</v>
      </c>
      <c r="BE495" s="4">
        <f t="shared" si="62"/>
        <v>83513234</v>
      </c>
      <c r="BF495" s="30">
        <f t="shared" si="63"/>
        <v>138304524</v>
      </c>
      <c r="BG495" s="18">
        <f t="shared" si="64"/>
        <v>0</v>
      </c>
      <c r="BH495" s="23"/>
      <c r="BI495" s="23"/>
      <c r="BJ495" s="23"/>
    </row>
    <row r="496" spans="1:66" ht="15" customHeight="1" x14ac:dyDescent="0.2">
      <c r="A496" s="1">
        <v>8000990989</v>
      </c>
      <c r="B496" s="1">
        <v>800099098</v>
      </c>
      <c r="C496" s="15">
        <v>217852378</v>
      </c>
      <c r="D496" s="16" t="s">
        <v>717</v>
      </c>
      <c r="E496" s="41" t="s">
        <v>1740</v>
      </c>
      <c r="F496" s="28"/>
      <c r="G496" s="2"/>
      <c r="H496" s="3"/>
      <c r="I496" s="2"/>
      <c r="J496" s="29"/>
      <c r="K496" s="3"/>
      <c r="L496" s="2"/>
      <c r="M496" s="8"/>
      <c r="N496" s="3"/>
      <c r="O496" s="2"/>
      <c r="P496" s="3"/>
      <c r="Q496" s="2"/>
      <c r="R496" s="3"/>
      <c r="S496" s="3"/>
      <c r="T496" s="2"/>
      <c r="U496" s="8">
        <f t="shared" si="59"/>
        <v>0</v>
      </c>
      <c r="V496" s="8"/>
      <c r="W496" s="8"/>
      <c r="X496" s="8"/>
      <c r="Y496" s="8"/>
      <c r="Z496" s="8"/>
      <c r="AA496" s="8"/>
      <c r="AB496" s="8"/>
      <c r="AC496" s="8">
        <f t="shared" si="60"/>
        <v>0</v>
      </c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>
        <v>172716870</v>
      </c>
      <c r="AZ496" s="8"/>
      <c r="BA496" s="8">
        <f>VLOOKUP(B496,[1]Hoja3!J$3:K$674,2,0)</f>
        <v>249881234</v>
      </c>
      <c r="BB496" s="8"/>
      <c r="BC496" s="8">
        <f t="shared" si="61"/>
        <v>422598104</v>
      </c>
      <c r="BD496" s="4">
        <v>172716870</v>
      </c>
      <c r="BE496" s="4">
        <f t="shared" si="62"/>
        <v>249881234</v>
      </c>
      <c r="BF496" s="30">
        <f t="shared" si="63"/>
        <v>422598104</v>
      </c>
      <c r="BG496" s="18">
        <f t="shared" si="64"/>
        <v>0</v>
      </c>
      <c r="BH496" s="23"/>
      <c r="BI496" s="23"/>
      <c r="BJ496" s="23"/>
    </row>
    <row r="497" spans="1:62" ht="15" customHeight="1" x14ac:dyDescent="0.2">
      <c r="A497" s="1">
        <v>8001005217</v>
      </c>
      <c r="B497" s="1">
        <v>800100521</v>
      </c>
      <c r="C497" s="15">
        <v>217776377</v>
      </c>
      <c r="D497" s="16" t="s">
        <v>930</v>
      </c>
      <c r="E497" s="41" t="s">
        <v>1991</v>
      </c>
      <c r="F497" s="28"/>
      <c r="G497" s="2"/>
      <c r="H497" s="3"/>
      <c r="I497" s="2"/>
      <c r="J497" s="29"/>
      <c r="K497" s="3"/>
      <c r="L497" s="2"/>
      <c r="M497" s="8"/>
      <c r="N497" s="3"/>
      <c r="O497" s="2"/>
      <c r="P497" s="3"/>
      <c r="Q497" s="2"/>
      <c r="R497" s="3"/>
      <c r="S497" s="3"/>
      <c r="T497" s="2"/>
      <c r="U497" s="8">
        <f t="shared" si="59"/>
        <v>0</v>
      </c>
      <c r="V497" s="8"/>
      <c r="W497" s="8"/>
      <c r="X497" s="8"/>
      <c r="Y497" s="8"/>
      <c r="Z497" s="8"/>
      <c r="AA497" s="8"/>
      <c r="AB497" s="8"/>
      <c r="AC497" s="8">
        <f t="shared" si="60"/>
        <v>0</v>
      </c>
      <c r="AD497" s="8"/>
      <c r="AE497" s="8"/>
      <c r="AF497" s="8"/>
      <c r="AG497" s="8"/>
      <c r="AH497" s="8"/>
      <c r="AI497" s="8"/>
      <c r="AJ497" s="8"/>
      <c r="AK497" s="8"/>
      <c r="AL497" s="8"/>
      <c r="AM497" s="8">
        <v>57421425</v>
      </c>
      <c r="AN497" s="8">
        <f>SUBTOTAL(9,AC497:AM497)</f>
        <v>57421425</v>
      </c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>
        <v>75148415</v>
      </c>
      <c r="AZ497" s="8"/>
      <c r="BA497" s="8">
        <f>VLOOKUP(B497,[1]Hoja3!J$3:K$674,2,0)</f>
        <v>125758090</v>
      </c>
      <c r="BB497" s="8"/>
      <c r="BC497" s="8">
        <f t="shared" si="61"/>
        <v>258327930</v>
      </c>
      <c r="BD497" s="4">
        <v>75148415</v>
      </c>
      <c r="BE497" s="4">
        <f t="shared" si="62"/>
        <v>183179515</v>
      </c>
      <c r="BF497" s="30">
        <f t="shared" si="63"/>
        <v>258327930</v>
      </c>
      <c r="BG497" s="18">
        <f t="shared" si="64"/>
        <v>0</v>
      </c>
      <c r="BH497" s="23"/>
      <c r="BI497" s="23"/>
      <c r="BJ497" s="23"/>
    </row>
    <row r="498" spans="1:62" ht="15" customHeight="1" x14ac:dyDescent="0.2">
      <c r="A498" s="1">
        <v>8908011306</v>
      </c>
      <c r="B498" s="1">
        <v>890801130</v>
      </c>
      <c r="C498" s="15">
        <v>218017380</v>
      </c>
      <c r="D498" s="16" t="s">
        <v>342</v>
      </c>
      <c r="E498" s="58" t="s">
        <v>2250</v>
      </c>
      <c r="F498" s="28"/>
      <c r="G498" s="2"/>
      <c r="H498" s="3"/>
      <c r="I498" s="2"/>
      <c r="J498" s="29"/>
      <c r="K498" s="3"/>
      <c r="L498" s="2"/>
      <c r="M498" s="8"/>
      <c r="N498" s="3"/>
      <c r="O498" s="2"/>
      <c r="P498" s="3"/>
      <c r="Q498" s="2"/>
      <c r="R498" s="3"/>
      <c r="S498" s="3"/>
      <c r="T498" s="2"/>
      <c r="U498" s="8">
        <f t="shared" si="59"/>
        <v>0</v>
      </c>
      <c r="V498" s="8"/>
      <c r="W498" s="8"/>
      <c r="X498" s="8"/>
      <c r="Y498" s="8"/>
      <c r="Z498" s="8"/>
      <c r="AA498" s="8"/>
      <c r="AB498" s="8"/>
      <c r="AC498" s="8">
        <f t="shared" si="60"/>
        <v>0</v>
      </c>
      <c r="AD498" s="8"/>
      <c r="AE498" s="8"/>
      <c r="AF498" s="8"/>
      <c r="AG498" s="8"/>
      <c r="AH498" s="8"/>
      <c r="AI498" s="8"/>
      <c r="AJ498" s="8"/>
      <c r="AK498" s="8"/>
      <c r="AL498" s="8"/>
      <c r="AM498" s="8">
        <v>574112707</v>
      </c>
      <c r="AN498" s="8">
        <f>SUBTOTAL(9,AC498:AM498)</f>
        <v>574112707</v>
      </c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>
        <f>VLOOKUP(B498,[1]Hoja3!J$3:K$674,2,0)</f>
        <v>257909118</v>
      </c>
      <c r="BB498" s="8"/>
      <c r="BC498" s="8">
        <f t="shared" si="61"/>
        <v>832021825</v>
      </c>
      <c r="BD498" s="4"/>
      <c r="BE498" s="4">
        <f t="shared" si="62"/>
        <v>832021825</v>
      </c>
      <c r="BF498" s="30">
        <f t="shared" si="63"/>
        <v>832021825</v>
      </c>
      <c r="BG498" s="18">
        <f t="shared" si="64"/>
        <v>0</v>
      </c>
      <c r="BH498" s="23"/>
      <c r="BI498" s="23"/>
      <c r="BJ498" s="23"/>
    </row>
    <row r="499" spans="1:62" ht="15" customHeight="1" x14ac:dyDescent="0.2">
      <c r="A499" s="1">
        <v>8002450219</v>
      </c>
      <c r="B499" s="1">
        <v>800245021</v>
      </c>
      <c r="C499" s="15">
        <v>218554385</v>
      </c>
      <c r="D499" s="16" t="s">
        <v>769</v>
      </c>
      <c r="E499" s="41" t="s">
        <v>1788</v>
      </c>
      <c r="F499" s="28"/>
      <c r="G499" s="2"/>
      <c r="H499" s="3"/>
      <c r="I499" s="2"/>
      <c r="J499" s="29"/>
      <c r="K499" s="3"/>
      <c r="L499" s="2"/>
      <c r="M499" s="8"/>
      <c r="N499" s="3"/>
      <c r="O499" s="2"/>
      <c r="P499" s="3"/>
      <c r="Q499" s="2"/>
      <c r="R499" s="3"/>
      <c r="S499" s="3"/>
      <c r="T499" s="2"/>
      <c r="U499" s="8">
        <f t="shared" si="59"/>
        <v>0</v>
      </c>
      <c r="V499" s="8"/>
      <c r="W499" s="8"/>
      <c r="X499" s="8"/>
      <c r="Y499" s="8"/>
      <c r="Z499" s="8"/>
      <c r="AA499" s="8"/>
      <c r="AB499" s="8"/>
      <c r="AC499" s="8">
        <f t="shared" si="60"/>
        <v>0</v>
      </c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>
        <v>138735965</v>
      </c>
      <c r="AZ499" s="8"/>
      <c r="BA499" s="8">
        <f>VLOOKUP(B499,[1]Hoja3!J$3:K$674,2,0)</f>
        <v>138481388</v>
      </c>
      <c r="BB499" s="8"/>
      <c r="BC499" s="8">
        <f t="shared" si="61"/>
        <v>277217353</v>
      </c>
      <c r="BD499" s="4">
        <v>138735965</v>
      </c>
      <c r="BE499" s="4">
        <f t="shared" si="62"/>
        <v>138481388</v>
      </c>
      <c r="BF499" s="30">
        <f t="shared" si="63"/>
        <v>277217353</v>
      </c>
      <c r="BG499" s="18">
        <f t="shared" si="64"/>
        <v>0</v>
      </c>
      <c r="BH499" s="23"/>
      <c r="BI499" s="23"/>
      <c r="BJ499" s="23"/>
    </row>
    <row r="500" spans="1:62" ht="15" customHeight="1" x14ac:dyDescent="0.2">
      <c r="A500" s="1">
        <v>8909807824</v>
      </c>
      <c r="B500" s="1">
        <v>890980782</v>
      </c>
      <c r="C500" s="15">
        <v>218005380</v>
      </c>
      <c r="D500" s="16" t="s">
        <v>102</v>
      </c>
      <c r="E500" s="41" t="s">
        <v>1133</v>
      </c>
      <c r="F500" s="28"/>
      <c r="G500" s="2"/>
      <c r="H500" s="3"/>
      <c r="I500" s="2"/>
      <c r="J500" s="29"/>
      <c r="K500" s="3"/>
      <c r="L500" s="2"/>
      <c r="M500" s="8"/>
      <c r="N500" s="3"/>
      <c r="O500" s="2"/>
      <c r="P500" s="3"/>
      <c r="Q500" s="2"/>
      <c r="R500" s="3"/>
      <c r="S500" s="3"/>
      <c r="T500" s="2"/>
      <c r="U500" s="8">
        <f t="shared" si="59"/>
        <v>0</v>
      </c>
      <c r="V500" s="8"/>
      <c r="W500" s="8"/>
      <c r="X500" s="8"/>
      <c r="Y500" s="8"/>
      <c r="Z500" s="8"/>
      <c r="AA500" s="8"/>
      <c r="AB500" s="8"/>
      <c r="AC500" s="8">
        <f t="shared" si="60"/>
        <v>0</v>
      </c>
      <c r="AD500" s="8"/>
      <c r="AE500" s="8"/>
      <c r="AF500" s="8"/>
      <c r="AG500" s="8"/>
      <c r="AH500" s="8"/>
      <c r="AI500" s="8"/>
      <c r="AJ500" s="8"/>
      <c r="AK500" s="8"/>
      <c r="AL500" s="8"/>
      <c r="AM500" s="8">
        <v>420526428</v>
      </c>
      <c r="AN500" s="8">
        <f>SUBTOTAL(9,AC500:AM500)</f>
        <v>420526428</v>
      </c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>
        <v>201093200</v>
      </c>
      <c r="AZ500" s="8"/>
      <c r="BA500" s="8"/>
      <c r="BB500" s="8"/>
      <c r="BC500" s="8">
        <f t="shared" si="61"/>
        <v>621619628</v>
      </c>
      <c r="BD500" s="4">
        <v>201093200</v>
      </c>
      <c r="BE500" s="4">
        <f t="shared" si="62"/>
        <v>420526428</v>
      </c>
      <c r="BF500" s="30">
        <f t="shared" si="63"/>
        <v>621619628</v>
      </c>
      <c r="BG500" s="18">
        <f t="shared" si="64"/>
        <v>0</v>
      </c>
      <c r="BH500" s="23"/>
      <c r="BI500" s="23"/>
      <c r="BJ500" s="23"/>
    </row>
    <row r="501" spans="1:62" ht="15" customHeight="1" x14ac:dyDescent="0.2">
      <c r="A501" s="1">
        <v>8000991006</v>
      </c>
      <c r="B501" s="1">
        <v>800099100</v>
      </c>
      <c r="C501" s="15">
        <v>218152381</v>
      </c>
      <c r="D501" s="16" t="s">
        <v>718</v>
      </c>
      <c r="E501" s="41" t="s">
        <v>1741</v>
      </c>
      <c r="F501" s="28"/>
      <c r="G501" s="2"/>
      <c r="H501" s="3"/>
      <c r="I501" s="2"/>
      <c r="J501" s="29"/>
      <c r="K501" s="3"/>
      <c r="L501" s="2"/>
      <c r="M501" s="8"/>
      <c r="N501" s="3"/>
      <c r="O501" s="2"/>
      <c r="P501" s="3"/>
      <c r="Q501" s="2"/>
      <c r="R501" s="3"/>
      <c r="S501" s="3"/>
      <c r="T501" s="2"/>
      <c r="U501" s="8">
        <f t="shared" si="59"/>
        <v>0</v>
      </c>
      <c r="V501" s="8"/>
      <c r="W501" s="8"/>
      <c r="X501" s="8"/>
      <c r="Y501" s="8"/>
      <c r="Z501" s="8"/>
      <c r="AA501" s="8"/>
      <c r="AB501" s="8"/>
      <c r="AC501" s="8">
        <f t="shared" si="60"/>
        <v>0</v>
      </c>
      <c r="AD501" s="8"/>
      <c r="AE501" s="8"/>
      <c r="AF501" s="8"/>
      <c r="AG501" s="8"/>
      <c r="AH501" s="8"/>
      <c r="AI501" s="8"/>
      <c r="AJ501" s="8"/>
      <c r="AK501" s="8"/>
      <c r="AL501" s="8"/>
      <c r="AM501" s="8">
        <v>125744363</v>
      </c>
      <c r="AN501" s="8">
        <f>SUBTOTAL(9,AC501:AM501)</f>
        <v>125744363</v>
      </c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>
        <v>87695130</v>
      </c>
      <c r="AZ501" s="8"/>
      <c r="BA501" s="8"/>
      <c r="BB501" s="8"/>
      <c r="BC501" s="8">
        <f t="shared" si="61"/>
        <v>213439493</v>
      </c>
      <c r="BD501" s="4">
        <v>87695130</v>
      </c>
      <c r="BE501" s="4">
        <f t="shared" si="62"/>
        <v>125744363</v>
      </c>
      <c r="BF501" s="30">
        <f t="shared" si="63"/>
        <v>213439493</v>
      </c>
      <c r="BG501" s="18">
        <f t="shared" si="64"/>
        <v>0</v>
      </c>
      <c r="BH501" s="23"/>
      <c r="BI501" s="23"/>
      <c r="BJ501" s="23"/>
    </row>
    <row r="502" spans="1:62" ht="15" customHeight="1" x14ac:dyDescent="0.2">
      <c r="A502" s="1">
        <v>8000965993</v>
      </c>
      <c r="B502" s="1">
        <v>800096599</v>
      </c>
      <c r="C502" s="15">
        <v>218320383</v>
      </c>
      <c r="D502" s="16" t="s">
        <v>425</v>
      </c>
      <c r="E502" s="41" t="s">
        <v>1452</v>
      </c>
      <c r="F502" s="28"/>
      <c r="G502" s="2"/>
      <c r="H502" s="3"/>
      <c r="I502" s="2"/>
      <c r="J502" s="29"/>
      <c r="K502" s="3"/>
      <c r="L502" s="2"/>
      <c r="M502" s="8"/>
      <c r="N502" s="3"/>
      <c r="O502" s="2"/>
      <c r="P502" s="3"/>
      <c r="Q502" s="2"/>
      <c r="R502" s="3"/>
      <c r="S502" s="3"/>
      <c r="T502" s="2"/>
      <c r="U502" s="8">
        <f t="shared" si="59"/>
        <v>0</v>
      </c>
      <c r="V502" s="8"/>
      <c r="W502" s="8"/>
      <c r="X502" s="8"/>
      <c r="Y502" s="8"/>
      <c r="Z502" s="8"/>
      <c r="AA502" s="8"/>
      <c r="AB502" s="8"/>
      <c r="AC502" s="8">
        <f t="shared" si="60"/>
        <v>0</v>
      </c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>
        <v>146190335</v>
      </c>
      <c r="AZ502" s="8"/>
      <c r="BA502" s="8">
        <f>VLOOKUP(B502,[1]Hoja3!J$3:K$674,2,0)</f>
        <v>263250909</v>
      </c>
      <c r="BB502" s="8"/>
      <c r="BC502" s="8">
        <f t="shared" si="61"/>
        <v>409441244</v>
      </c>
      <c r="BD502" s="4">
        <v>146190335</v>
      </c>
      <c r="BE502" s="4">
        <f t="shared" si="62"/>
        <v>263250909</v>
      </c>
      <c r="BF502" s="30">
        <f t="shared" si="63"/>
        <v>409441244</v>
      </c>
      <c r="BG502" s="18">
        <f t="shared" si="64"/>
        <v>0</v>
      </c>
      <c r="BH502" s="23"/>
      <c r="BI502" s="23"/>
      <c r="BJ502" s="23"/>
    </row>
    <row r="503" spans="1:62" ht="15" customHeight="1" x14ac:dyDescent="0.2">
      <c r="A503" s="1">
        <v>8001086838</v>
      </c>
      <c r="B503" s="1">
        <v>800108683</v>
      </c>
      <c r="C503" s="15">
        <v>210020400</v>
      </c>
      <c r="D503" s="16" t="s">
        <v>426</v>
      </c>
      <c r="E503" s="41" t="s">
        <v>1453</v>
      </c>
      <c r="F503" s="28"/>
      <c r="G503" s="2"/>
      <c r="H503" s="3"/>
      <c r="I503" s="2"/>
      <c r="J503" s="29"/>
      <c r="K503" s="3"/>
      <c r="L503" s="2"/>
      <c r="M503" s="8"/>
      <c r="N503" s="3"/>
      <c r="O503" s="2"/>
      <c r="P503" s="3"/>
      <c r="Q503" s="2"/>
      <c r="R503" s="3"/>
      <c r="S503" s="3"/>
      <c r="T503" s="2"/>
      <c r="U503" s="8">
        <f t="shared" si="59"/>
        <v>0</v>
      </c>
      <c r="V503" s="8"/>
      <c r="W503" s="8"/>
      <c r="X503" s="8"/>
      <c r="Y503" s="8"/>
      <c r="Z503" s="8"/>
      <c r="AA503" s="8"/>
      <c r="AB503" s="8"/>
      <c r="AC503" s="8">
        <f t="shared" si="60"/>
        <v>0</v>
      </c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>
        <v>407919025</v>
      </c>
      <c r="AZ503" s="8"/>
      <c r="BA503" s="8">
        <f>VLOOKUP(B503,[1]Hoja3!J$3:K$674,2,0)</f>
        <v>638274061</v>
      </c>
      <c r="BB503" s="8"/>
      <c r="BC503" s="8">
        <f t="shared" si="61"/>
        <v>1046193086</v>
      </c>
      <c r="BD503" s="4">
        <v>407919025</v>
      </c>
      <c r="BE503" s="4">
        <f t="shared" si="62"/>
        <v>638274061</v>
      </c>
      <c r="BF503" s="30">
        <f t="shared" si="63"/>
        <v>1046193086</v>
      </c>
      <c r="BG503" s="18">
        <f t="shared" si="64"/>
        <v>0</v>
      </c>
      <c r="BH503" s="23"/>
      <c r="BI503" s="23"/>
      <c r="BJ503" s="23"/>
    </row>
    <row r="504" spans="1:62" ht="15" customHeight="1" x14ac:dyDescent="0.2">
      <c r="A504" s="1">
        <v>8250006761</v>
      </c>
      <c r="B504" s="1">
        <v>825000676</v>
      </c>
      <c r="C504" s="15">
        <v>212044420</v>
      </c>
      <c r="D504" s="16" t="s">
        <v>2126</v>
      </c>
      <c r="E504" s="41" t="s">
        <v>1655</v>
      </c>
      <c r="F504" s="28"/>
      <c r="G504" s="2"/>
      <c r="H504" s="3"/>
      <c r="I504" s="2"/>
      <c r="J504" s="29"/>
      <c r="K504" s="3"/>
      <c r="L504" s="2"/>
      <c r="M504" s="8"/>
      <c r="N504" s="3"/>
      <c r="O504" s="2"/>
      <c r="P504" s="3"/>
      <c r="Q504" s="2"/>
      <c r="R504" s="3"/>
      <c r="S504" s="3"/>
      <c r="T504" s="2"/>
      <c r="U504" s="8">
        <f t="shared" si="59"/>
        <v>0</v>
      </c>
      <c r="V504" s="8"/>
      <c r="W504" s="8"/>
      <c r="X504" s="8"/>
      <c r="Y504" s="8"/>
      <c r="Z504" s="8"/>
      <c r="AA504" s="8"/>
      <c r="AB504" s="8"/>
      <c r="AC504" s="8">
        <f t="shared" si="60"/>
        <v>0</v>
      </c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>
        <f>VLOOKUP(B504,[1]Hoja3!J$3:K$674,2,0)</f>
        <v>47772073</v>
      </c>
      <c r="BB504" s="8"/>
      <c r="BC504" s="8">
        <f t="shared" si="61"/>
        <v>47772073</v>
      </c>
      <c r="BD504" s="4"/>
      <c r="BE504" s="4">
        <f t="shared" si="62"/>
        <v>47772073</v>
      </c>
      <c r="BF504" s="30">
        <f t="shared" si="63"/>
        <v>47772073</v>
      </c>
      <c r="BG504" s="18">
        <f t="shared" si="64"/>
        <v>0</v>
      </c>
      <c r="BH504" s="23"/>
      <c r="BI504" s="23"/>
      <c r="BJ504" s="23"/>
    </row>
    <row r="505" spans="1:62" ht="15" customHeight="1" x14ac:dyDescent="0.2">
      <c r="A505" s="1">
        <v>8001498940</v>
      </c>
      <c r="B505" s="1">
        <v>800149894</v>
      </c>
      <c r="C505" s="15">
        <v>218552385</v>
      </c>
      <c r="D505" s="16" t="s">
        <v>719</v>
      </c>
      <c r="E505" s="41" t="s">
        <v>1742</v>
      </c>
      <c r="F505" s="28"/>
      <c r="G505" s="2"/>
      <c r="H505" s="3"/>
      <c r="I505" s="2"/>
      <c r="J505" s="29"/>
      <c r="K505" s="3"/>
      <c r="L505" s="2"/>
      <c r="M505" s="8"/>
      <c r="N505" s="3"/>
      <c r="O505" s="2"/>
      <c r="P505" s="3"/>
      <c r="Q505" s="2"/>
      <c r="R505" s="3"/>
      <c r="S505" s="3"/>
      <c r="T505" s="2"/>
      <c r="U505" s="8">
        <f t="shared" si="59"/>
        <v>0</v>
      </c>
      <c r="V505" s="8"/>
      <c r="W505" s="8"/>
      <c r="X505" s="8"/>
      <c r="Y505" s="8"/>
      <c r="Z505" s="8"/>
      <c r="AA505" s="8"/>
      <c r="AB505" s="8"/>
      <c r="AC505" s="8">
        <f t="shared" si="60"/>
        <v>0</v>
      </c>
      <c r="AD505" s="8"/>
      <c r="AE505" s="8"/>
      <c r="AF505" s="8"/>
      <c r="AG505" s="8"/>
      <c r="AH505" s="8"/>
      <c r="AI505" s="8"/>
      <c r="AJ505" s="8"/>
      <c r="AK505" s="8"/>
      <c r="AL505" s="8"/>
      <c r="AM505" s="8">
        <v>70869637</v>
      </c>
      <c r="AN505" s="8">
        <f t="shared" ref="AN505:AN511" si="65">SUBTOTAL(9,AC505:AM505)</f>
        <v>70869637</v>
      </c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>
        <f t="shared" si="61"/>
        <v>70869637</v>
      </c>
      <c r="BD505" s="4"/>
      <c r="BE505" s="4">
        <f t="shared" si="62"/>
        <v>70869637</v>
      </c>
      <c r="BF505" s="30">
        <f t="shared" si="63"/>
        <v>70869637</v>
      </c>
      <c r="BG505" s="18">
        <f t="shared" si="64"/>
        <v>0</v>
      </c>
      <c r="BH505" s="23"/>
      <c r="BI505" s="23"/>
      <c r="BJ505" s="23"/>
    </row>
    <row r="506" spans="1:62" ht="15" customHeight="1" x14ac:dyDescent="0.2">
      <c r="A506" s="1">
        <v>8920992349</v>
      </c>
      <c r="B506" s="1">
        <v>892099234</v>
      </c>
      <c r="C506" s="15">
        <v>215050350</v>
      </c>
      <c r="D506" s="16" t="s">
        <v>679</v>
      </c>
      <c r="E506" s="41" t="s">
        <v>1701</v>
      </c>
      <c r="F506" s="28"/>
      <c r="G506" s="2"/>
      <c r="H506" s="3"/>
      <c r="I506" s="2"/>
      <c r="J506" s="29"/>
      <c r="K506" s="3"/>
      <c r="L506" s="2"/>
      <c r="M506" s="8"/>
      <c r="N506" s="3"/>
      <c r="O506" s="2"/>
      <c r="P506" s="3"/>
      <c r="Q506" s="2"/>
      <c r="R506" s="3"/>
      <c r="S506" s="3"/>
      <c r="T506" s="2"/>
      <c r="U506" s="8">
        <f t="shared" si="59"/>
        <v>0</v>
      </c>
      <c r="V506" s="8"/>
      <c r="W506" s="8"/>
      <c r="X506" s="8"/>
      <c r="Y506" s="8"/>
      <c r="Z506" s="8"/>
      <c r="AA506" s="8"/>
      <c r="AB506" s="8"/>
      <c r="AC506" s="8">
        <f t="shared" si="60"/>
        <v>0</v>
      </c>
      <c r="AD506" s="8"/>
      <c r="AE506" s="8"/>
      <c r="AF506" s="8"/>
      <c r="AG506" s="8"/>
      <c r="AH506" s="8"/>
      <c r="AI506" s="8"/>
      <c r="AJ506" s="8"/>
      <c r="AK506" s="8"/>
      <c r="AL506" s="8"/>
      <c r="AM506" s="8">
        <v>220248646</v>
      </c>
      <c r="AN506" s="8">
        <f t="shared" si="65"/>
        <v>220248646</v>
      </c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>
        <f t="shared" si="61"/>
        <v>220248646</v>
      </c>
      <c r="BD506" s="4"/>
      <c r="BE506" s="4">
        <f t="shared" si="62"/>
        <v>220248646</v>
      </c>
      <c r="BF506" s="30">
        <f t="shared" si="63"/>
        <v>220248646</v>
      </c>
      <c r="BG506" s="18">
        <f t="shared" si="64"/>
        <v>0</v>
      </c>
      <c r="BH506" s="23"/>
      <c r="BI506" s="23"/>
      <c r="BJ506" s="23"/>
    </row>
    <row r="507" spans="1:62" ht="15" customHeight="1" x14ac:dyDescent="0.2">
      <c r="A507" s="1">
        <v>8908027958</v>
      </c>
      <c r="B507" s="1">
        <v>890802795</v>
      </c>
      <c r="C507" s="15">
        <v>218817388</v>
      </c>
      <c r="D507" s="16" t="s">
        <v>343</v>
      </c>
      <c r="E507" s="41" t="s">
        <v>1373</v>
      </c>
      <c r="F507" s="28"/>
      <c r="G507" s="2"/>
      <c r="H507" s="3"/>
      <c r="I507" s="2"/>
      <c r="J507" s="29"/>
      <c r="K507" s="3"/>
      <c r="L507" s="2"/>
      <c r="M507" s="8"/>
      <c r="N507" s="3"/>
      <c r="O507" s="2"/>
      <c r="P507" s="3"/>
      <c r="Q507" s="2"/>
      <c r="R507" s="3"/>
      <c r="S507" s="3"/>
      <c r="T507" s="2"/>
      <c r="U507" s="8">
        <f t="shared" si="59"/>
        <v>0</v>
      </c>
      <c r="V507" s="8"/>
      <c r="W507" s="8"/>
      <c r="X507" s="8"/>
      <c r="Y507" s="8"/>
      <c r="Z507" s="8"/>
      <c r="AA507" s="8"/>
      <c r="AB507" s="8"/>
      <c r="AC507" s="8">
        <f t="shared" si="60"/>
        <v>0</v>
      </c>
      <c r="AD507" s="8"/>
      <c r="AE507" s="8"/>
      <c r="AF507" s="8"/>
      <c r="AG507" s="8"/>
      <c r="AH507" s="8"/>
      <c r="AI507" s="8"/>
      <c r="AJ507" s="8"/>
      <c r="AK507" s="8"/>
      <c r="AL507" s="8"/>
      <c r="AM507" s="8">
        <v>100240457</v>
      </c>
      <c r="AN507" s="8">
        <f t="shared" si="65"/>
        <v>100240457</v>
      </c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>
        <v>50018325</v>
      </c>
      <c r="AZ507" s="8"/>
      <c r="BA507" s="8"/>
      <c r="BB507" s="8">
        <f>VLOOKUP(B507,'[2]anuladas en mayo gratuidad}'!K$2:L$55,2,0)</f>
        <v>35202252</v>
      </c>
      <c r="BC507" s="8">
        <f t="shared" si="61"/>
        <v>115056530</v>
      </c>
      <c r="BD507" s="4">
        <v>50018325</v>
      </c>
      <c r="BE507" s="4">
        <f t="shared" si="62"/>
        <v>65038205</v>
      </c>
      <c r="BF507" s="30">
        <f t="shared" si="63"/>
        <v>115056530</v>
      </c>
      <c r="BG507" s="18">
        <f t="shared" si="64"/>
        <v>0</v>
      </c>
      <c r="BH507" s="23"/>
      <c r="BI507" s="23"/>
      <c r="BJ507" s="23"/>
    </row>
    <row r="508" spans="1:62" ht="15" customHeight="1" x14ac:dyDescent="0.2">
      <c r="A508" s="1">
        <v>8906800267</v>
      </c>
      <c r="B508" s="1">
        <v>890680026</v>
      </c>
      <c r="C508" s="15">
        <v>218625386</v>
      </c>
      <c r="D508" s="16" t="s">
        <v>505</v>
      </c>
      <c r="E508" s="41" t="s">
        <v>1531</v>
      </c>
      <c r="F508" s="28"/>
      <c r="G508" s="2"/>
      <c r="H508" s="3"/>
      <c r="I508" s="2"/>
      <c r="J508" s="29"/>
      <c r="K508" s="3"/>
      <c r="L508" s="2"/>
      <c r="M508" s="8"/>
      <c r="N508" s="3"/>
      <c r="O508" s="2"/>
      <c r="P508" s="3"/>
      <c r="Q508" s="2"/>
      <c r="R508" s="3"/>
      <c r="S508" s="3"/>
      <c r="T508" s="2"/>
      <c r="U508" s="8">
        <f t="shared" si="59"/>
        <v>0</v>
      </c>
      <c r="V508" s="8"/>
      <c r="W508" s="8"/>
      <c r="X508" s="8"/>
      <c r="Y508" s="8"/>
      <c r="Z508" s="8"/>
      <c r="AA508" s="8"/>
      <c r="AB508" s="8"/>
      <c r="AC508" s="8">
        <f t="shared" si="60"/>
        <v>0</v>
      </c>
      <c r="AD508" s="8"/>
      <c r="AE508" s="8"/>
      <c r="AF508" s="8"/>
      <c r="AG508" s="8"/>
      <c r="AH508" s="8"/>
      <c r="AI508" s="8"/>
      <c r="AJ508" s="8"/>
      <c r="AK508" s="8"/>
      <c r="AL508" s="8"/>
      <c r="AM508" s="8">
        <v>348340529</v>
      </c>
      <c r="AN508" s="8">
        <f t="shared" si="65"/>
        <v>348340529</v>
      </c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>
        <v>161337225</v>
      </c>
      <c r="AZ508" s="8"/>
      <c r="BA508" s="8"/>
      <c r="BB508" s="8"/>
      <c r="BC508" s="8">
        <f t="shared" si="61"/>
        <v>509677754</v>
      </c>
      <c r="BD508" s="4">
        <v>161337225</v>
      </c>
      <c r="BE508" s="4">
        <f t="shared" si="62"/>
        <v>348340529</v>
      </c>
      <c r="BF508" s="30">
        <f t="shared" si="63"/>
        <v>509677754</v>
      </c>
      <c r="BG508" s="18">
        <f t="shared" si="64"/>
        <v>0</v>
      </c>
      <c r="BH508" s="23"/>
      <c r="BI508" s="23"/>
      <c r="BJ508" s="23"/>
    </row>
    <row r="509" spans="1:62" ht="15" customHeight="1" x14ac:dyDescent="0.2">
      <c r="A509" s="1">
        <v>8000957702</v>
      </c>
      <c r="B509" s="1">
        <v>800095770</v>
      </c>
      <c r="C509" s="15">
        <v>211018410</v>
      </c>
      <c r="D509" s="16" t="s">
        <v>2196</v>
      </c>
      <c r="E509" s="59" t="s">
        <v>2109</v>
      </c>
      <c r="F509" s="28"/>
      <c r="G509" s="2"/>
      <c r="H509" s="3"/>
      <c r="I509" s="2"/>
      <c r="J509" s="29"/>
      <c r="K509" s="3"/>
      <c r="L509" s="2"/>
      <c r="M509" s="8"/>
      <c r="N509" s="3"/>
      <c r="O509" s="2"/>
      <c r="P509" s="3"/>
      <c r="Q509" s="2"/>
      <c r="R509" s="3"/>
      <c r="S509" s="3"/>
      <c r="T509" s="2"/>
      <c r="U509" s="8">
        <f t="shared" si="59"/>
        <v>0</v>
      </c>
      <c r="V509" s="8"/>
      <c r="W509" s="8"/>
      <c r="X509" s="8"/>
      <c r="Y509" s="8"/>
      <c r="Z509" s="8"/>
      <c r="AA509" s="8"/>
      <c r="AB509" s="8"/>
      <c r="AC509" s="8">
        <f t="shared" si="60"/>
        <v>0</v>
      </c>
      <c r="AD509" s="8"/>
      <c r="AE509" s="8"/>
      <c r="AF509" s="8"/>
      <c r="AG509" s="8"/>
      <c r="AH509" s="8"/>
      <c r="AI509" s="8"/>
      <c r="AJ509" s="8"/>
      <c r="AK509" s="8"/>
      <c r="AL509" s="8"/>
      <c r="AM509" s="8">
        <v>305775495</v>
      </c>
      <c r="AN509" s="8">
        <f t="shared" si="65"/>
        <v>305775495</v>
      </c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>
        <v>201024495</v>
      </c>
      <c r="AZ509" s="8"/>
      <c r="BA509" s="8">
        <f>VLOOKUP(B509,[1]Hoja3!J$3:K$674,2,0)</f>
        <v>35752080</v>
      </c>
      <c r="BB509" s="8"/>
      <c r="BC509" s="8">
        <f t="shared" si="61"/>
        <v>542552070</v>
      </c>
      <c r="BD509" s="4">
        <v>201024495</v>
      </c>
      <c r="BE509" s="4">
        <f t="shared" si="62"/>
        <v>341527575</v>
      </c>
      <c r="BF509" s="30">
        <f t="shared" si="63"/>
        <v>542552070</v>
      </c>
      <c r="BG509" s="18">
        <f t="shared" si="64"/>
        <v>0</v>
      </c>
      <c r="BH509" s="23"/>
      <c r="BI509" s="23"/>
      <c r="BJ509" s="23"/>
    </row>
    <row r="510" spans="1:62" ht="15" customHeight="1" x14ac:dyDescent="0.2">
      <c r="A510" s="1">
        <v>8999993691</v>
      </c>
      <c r="B510" s="1">
        <v>899999369</v>
      </c>
      <c r="C510" s="15">
        <v>219425394</v>
      </c>
      <c r="D510" s="16" t="s">
        <v>506</v>
      </c>
      <c r="E510" s="41" t="s">
        <v>2077</v>
      </c>
      <c r="F510" s="28"/>
      <c r="G510" s="2"/>
      <c r="H510" s="3"/>
      <c r="I510" s="2"/>
      <c r="J510" s="29"/>
      <c r="K510" s="3"/>
      <c r="L510" s="2"/>
      <c r="M510" s="8"/>
      <c r="N510" s="3"/>
      <c r="O510" s="2"/>
      <c r="P510" s="3"/>
      <c r="Q510" s="2"/>
      <c r="R510" s="3"/>
      <c r="S510" s="3"/>
      <c r="T510" s="2"/>
      <c r="U510" s="8">
        <f t="shared" si="59"/>
        <v>0</v>
      </c>
      <c r="V510" s="8"/>
      <c r="W510" s="8"/>
      <c r="X510" s="8"/>
      <c r="Y510" s="8"/>
      <c r="Z510" s="8"/>
      <c r="AA510" s="8"/>
      <c r="AB510" s="8"/>
      <c r="AC510" s="8">
        <f t="shared" si="60"/>
        <v>0</v>
      </c>
      <c r="AD510" s="8"/>
      <c r="AE510" s="8"/>
      <c r="AF510" s="8"/>
      <c r="AG510" s="8"/>
      <c r="AH510" s="8"/>
      <c r="AI510" s="8"/>
      <c r="AJ510" s="8"/>
      <c r="AK510" s="8"/>
      <c r="AL510" s="8"/>
      <c r="AM510" s="8">
        <v>133644670</v>
      </c>
      <c r="AN510" s="8">
        <f t="shared" si="65"/>
        <v>133644670</v>
      </c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>
        <f t="shared" si="61"/>
        <v>133644670</v>
      </c>
      <c r="BD510" s="4"/>
      <c r="BE510" s="4">
        <f t="shared" si="62"/>
        <v>133644670</v>
      </c>
      <c r="BF510" s="30">
        <f t="shared" si="63"/>
        <v>133644670</v>
      </c>
      <c r="BG510" s="18">
        <f t="shared" si="64"/>
        <v>0</v>
      </c>
      <c r="BH510" s="23"/>
      <c r="BI510" s="23"/>
      <c r="BJ510" s="23"/>
    </row>
    <row r="511" spans="1:62" ht="15" customHeight="1" x14ac:dyDescent="0.2">
      <c r="A511" s="1">
        <v>8000966051</v>
      </c>
      <c r="B511" s="1">
        <v>800096605</v>
      </c>
      <c r="C511" s="15">
        <v>212120621</v>
      </c>
      <c r="D511" s="16" t="s">
        <v>432</v>
      </c>
      <c r="E511" s="41" t="s">
        <v>1459</v>
      </c>
      <c r="F511" s="28"/>
      <c r="G511" s="2"/>
      <c r="H511" s="3"/>
      <c r="I511" s="2"/>
      <c r="J511" s="29"/>
      <c r="K511" s="3"/>
      <c r="L511" s="2"/>
      <c r="M511" s="8"/>
      <c r="N511" s="3"/>
      <c r="O511" s="2"/>
      <c r="P511" s="3"/>
      <c r="Q511" s="2"/>
      <c r="R511" s="3"/>
      <c r="S511" s="3"/>
      <c r="T511" s="2"/>
      <c r="U511" s="8">
        <f t="shared" si="59"/>
        <v>0</v>
      </c>
      <c r="V511" s="8"/>
      <c r="W511" s="8"/>
      <c r="X511" s="8"/>
      <c r="Y511" s="8"/>
      <c r="Z511" s="8"/>
      <c r="AA511" s="8"/>
      <c r="AB511" s="8"/>
      <c r="AC511" s="8">
        <f t="shared" si="60"/>
        <v>0</v>
      </c>
      <c r="AD511" s="8"/>
      <c r="AE511" s="8"/>
      <c r="AF511" s="8"/>
      <c r="AG511" s="8"/>
      <c r="AH511" s="8"/>
      <c r="AI511" s="8"/>
      <c r="AJ511" s="8"/>
      <c r="AK511" s="8"/>
      <c r="AL511" s="8"/>
      <c r="AM511" s="8">
        <v>186117929</v>
      </c>
      <c r="AN511" s="8">
        <f t="shared" si="65"/>
        <v>186117929</v>
      </c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>
        <v>216762130</v>
      </c>
      <c r="AZ511" s="8"/>
      <c r="BA511" s="8">
        <f>VLOOKUP(B511,[1]Hoja3!J$3:K$674,2,0)</f>
        <v>291908220</v>
      </c>
      <c r="BB511" s="8"/>
      <c r="BC511" s="8">
        <f t="shared" si="61"/>
        <v>694788279</v>
      </c>
      <c r="BD511" s="4">
        <v>216762130</v>
      </c>
      <c r="BE511" s="4">
        <f t="shared" si="62"/>
        <v>478026149</v>
      </c>
      <c r="BF511" s="30">
        <f t="shared" si="63"/>
        <v>694788279</v>
      </c>
      <c r="BG511" s="18">
        <f t="shared" si="64"/>
        <v>0</v>
      </c>
      <c r="BH511" s="23"/>
      <c r="BI511" s="23"/>
      <c r="BJ511" s="23"/>
    </row>
    <row r="512" spans="1:62" ht="15" customHeight="1" x14ac:dyDescent="0.2">
      <c r="A512" s="1">
        <v>8902053083</v>
      </c>
      <c r="B512" s="1">
        <v>890205308</v>
      </c>
      <c r="C512" s="15">
        <v>219768397</v>
      </c>
      <c r="D512" s="16" t="s">
        <v>852</v>
      </c>
      <c r="E512" s="41" t="s">
        <v>1867</v>
      </c>
      <c r="F512" s="28"/>
      <c r="G512" s="2"/>
      <c r="H512" s="3"/>
      <c r="I512" s="2"/>
      <c r="J512" s="29"/>
      <c r="K512" s="3"/>
      <c r="L512" s="2"/>
      <c r="M512" s="8"/>
      <c r="N512" s="3"/>
      <c r="O512" s="2"/>
      <c r="P512" s="3"/>
      <c r="Q512" s="2"/>
      <c r="R512" s="3"/>
      <c r="S512" s="3"/>
      <c r="T512" s="2"/>
      <c r="U512" s="8">
        <f t="shared" si="59"/>
        <v>0</v>
      </c>
      <c r="V512" s="8"/>
      <c r="W512" s="8"/>
      <c r="X512" s="8"/>
      <c r="Y512" s="8"/>
      <c r="Z512" s="8"/>
      <c r="AA512" s="8"/>
      <c r="AB512" s="8"/>
      <c r="AC512" s="8">
        <f t="shared" si="60"/>
        <v>0</v>
      </c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>
        <v>28851385</v>
      </c>
      <c r="AZ512" s="8"/>
      <c r="BA512" s="8">
        <f>VLOOKUP(B512,[1]Hoja3!J$3:K$674,2,0)</f>
        <v>63364518</v>
      </c>
      <c r="BB512" s="8"/>
      <c r="BC512" s="8">
        <f t="shared" si="61"/>
        <v>92215903</v>
      </c>
      <c r="BD512" s="4">
        <v>28851385</v>
      </c>
      <c r="BE512" s="4">
        <f t="shared" si="62"/>
        <v>63364518</v>
      </c>
      <c r="BF512" s="30">
        <f t="shared" si="63"/>
        <v>92215903</v>
      </c>
      <c r="BG512" s="18">
        <f t="shared" si="64"/>
        <v>0</v>
      </c>
      <c r="BH512" s="23"/>
      <c r="BI512" s="23"/>
      <c r="BJ512" s="23"/>
    </row>
    <row r="513" spans="1:66" ht="15" customHeight="1" x14ac:dyDescent="0.2">
      <c r="A513" s="1">
        <v>8999997211</v>
      </c>
      <c r="B513" s="1">
        <v>899999721</v>
      </c>
      <c r="C513" s="15">
        <v>219825398</v>
      </c>
      <c r="D513" s="16" t="s">
        <v>507</v>
      </c>
      <c r="E513" s="41" t="s">
        <v>1532</v>
      </c>
      <c r="F513" s="28"/>
      <c r="G513" s="2"/>
      <c r="H513" s="3"/>
      <c r="I513" s="2"/>
      <c r="J513" s="29"/>
      <c r="K513" s="3"/>
      <c r="L513" s="2"/>
      <c r="M513" s="8"/>
      <c r="N513" s="3"/>
      <c r="O513" s="2"/>
      <c r="P513" s="3"/>
      <c r="Q513" s="2"/>
      <c r="R513" s="3"/>
      <c r="S513" s="3"/>
      <c r="T513" s="2"/>
      <c r="U513" s="8">
        <f t="shared" si="59"/>
        <v>0</v>
      </c>
      <c r="V513" s="8"/>
      <c r="W513" s="8"/>
      <c r="X513" s="8"/>
      <c r="Y513" s="8"/>
      <c r="Z513" s="8"/>
      <c r="AA513" s="8"/>
      <c r="AB513" s="8"/>
      <c r="AC513" s="8">
        <f t="shared" si="60"/>
        <v>0</v>
      </c>
      <c r="AD513" s="8"/>
      <c r="AE513" s="8"/>
      <c r="AF513" s="8"/>
      <c r="AG513" s="8"/>
      <c r="AH513" s="8"/>
      <c r="AI513" s="8"/>
      <c r="AJ513" s="8"/>
      <c r="AK513" s="8"/>
      <c r="AL513" s="8"/>
      <c r="AM513" s="8">
        <v>93901169</v>
      </c>
      <c r="AN513" s="8">
        <f>SUBTOTAL(9,AC513:AM513)</f>
        <v>93901169</v>
      </c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>
        <v>47500970</v>
      </c>
      <c r="AZ513" s="8"/>
      <c r="BA513" s="8"/>
      <c r="BB513" s="8"/>
      <c r="BC513" s="8">
        <f t="shared" si="61"/>
        <v>141402139</v>
      </c>
      <c r="BD513" s="4">
        <v>47500970</v>
      </c>
      <c r="BE513" s="4">
        <f t="shared" si="62"/>
        <v>93901169</v>
      </c>
      <c r="BF513" s="30">
        <f t="shared" si="63"/>
        <v>141402139</v>
      </c>
      <c r="BG513" s="18">
        <f t="shared" si="64"/>
        <v>0</v>
      </c>
      <c r="BH513" s="23"/>
      <c r="BI513" s="23"/>
      <c r="BJ513" s="23"/>
    </row>
    <row r="514" spans="1:66" ht="15" customHeight="1" x14ac:dyDescent="0.2">
      <c r="A514" s="1">
        <v>8110090178</v>
      </c>
      <c r="B514" s="1">
        <v>811009017</v>
      </c>
      <c r="C514" s="15">
        <v>219005390</v>
      </c>
      <c r="D514" s="16" t="s">
        <v>103</v>
      </c>
      <c r="E514" s="41" t="s">
        <v>1134</v>
      </c>
      <c r="F514" s="28"/>
      <c r="G514" s="2"/>
      <c r="H514" s="3"/>
      <c r="I514" s="2"/>
      <c r="J514" s="29"/>
      <c r="K514" s="3"/>
      <c r="L514" s="2"/>
      <c r="M514" s="8"/>
      <c r="N514" s="3"/>
      <c r="O514" s="2"/>
      <c r="P514" s="3"/>
      <c r="Q514" s="2"/>
      <c r="R514" s="3"/>
      <c r="S514" s="3"/>
      <c r="T514" s="2"/>
      <c r="U514" s="8">
        <f t="shared" si="59"/>
        <v>0</v>
      </c>
      <c r="V514" s="8"/>
      <c r="W514" s="8"/>
      <c r="X514" s="8"/>
      <c r="Y514" s="8"/>
      <c r="Z514" s="8"/>
      <c r="AA514" s="8"/>
      <c r="AB514" s="8"/>
      <c r="AC514" s="8">
        <f t="shared" si="60"/>
        <v>0</v>
      </c>
      <c r="AD514" s="8"/>
      <c r="AE514" s="8"/>
      <c r="AF514" s="8"/>
      <c r="AG514" s="8"/>
      <c r="AH514" s="8"/>
      <c r="AI514" s="8"/>
      <c r="AJ514" s="8"/>
      <c r="AK514" s="8"/>
      <c r="AL514" s="8"/>
      <c r="AM514" s="8">
        <v>69229845</v>
      </c>
      <c r="AN514" s="8">
        <f>SUBTOTAL(9,AC514:AM514)</f>
        <v>69229845</v>
      </c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>
        <v>52840200</v>
      </c>
      <c r="AZ514" s="8"/>
      <c r="BA514" s="8">
        <f>VLOOKUP(B514,[1]Hoja3!J$3:K$674,2,0)</f>
        <v>33105453</v>
      </c>
      <c r="BB514" s="8"/>
      <c r="BC514" s="8">
        <f t="shared" si="61"/>
        <v>155175498</v>
      </c>
      <c r="BD514" s="4">
        <v>52840200</v>
      </c>
      <c r="BE514" s="4">
        <f t="shared" si="62"/>
        <v>102335298</v>
      </c>
      <c r="BF514" s="30">
        <f t="shared" si="63"/>
        <v>155175498</v>
      </c>
      <c r="BG514" s="18">
        <f t="shared" si="64"/>
        <v>0</v>
      </c>
      <c r="BH514" s="23"/>
      <c r="BI514" s="23"/>
      <c r="BJ514" s="23"/>
    </row>
    <row r="515" spans="1:66" ht="15" customHeight="1" x14ac:dyDescent="0.2">
      <c r="A515" s="1">
        <v>8911801557</v>
      </c>
      <c r="B515" s="1">
        <v>891180155</v>
      </c>
      <c r="C515" s="15">
        <v>219641396</v>
      </c>
      <c r="D515" s="16" t="s">
        <v>609</v>
      </c>
      <c r="E515" s="41" t="s">
        <v>1629</v>
      </c>
      <c r="F515" s="28"/>
      <c r="G515" s="2"/>
      <c r="H515" s="3"/>
      <c r="I515" s="2"/>
      <c r="J515" s="29"/>
      <c r="K515" s="3"/>
      <c r="L515" s="2"/>
      <c r="M515" s="8"/>
      <c r="N515" s="3"/>
      <c r="O515" s="2"/>
      <c r="P515" s="3"/>
      <c r="Q515" s="2"/>
      <c r="R515" s="3"/>
      <c r="S515" s="3"/>
      <c r="T515" s="2"/>
      <c r="U515" s="8">
        <f t="shared" ref="U515:U578" si="66">SUM(M515:T515)</f>
        <v>0</v>
      </c>
      <c r="V515" s="8"/>
      <c r="W515" s="8"/>
      <c r="X515" s="8"/>
      <c r="Y515" s="8"/>
      <c r="Z515" s="8"/>
      <c r="AA515" s="8"/>
      <c r="AB515" s="8"/>
      <c r="AC515" s="8">
        <f t="shared" si="60"/>
        <v>0</v>
      </c>
      <c r="AD515" s="8"/>
      <c r="AE515" s="8"/>
      <c r="AF515" s="8"/>
      <c r="AG515" s="8"/>
      <c r="AH515" s="8"/>
      <c r="AI515" s="8"/>
      <c r="AJ515" s="8"/>
      <c r="AK515" s="8"/>
      <c r="AL515" s="8"/>
      <c r="AM515" s="8">
        <v>183730670</v>
      </c>
      <c r="AN515" s="8">
        <f>SUBTOTAL(9,AC515:AM515)</f>
        <v>183730670</v>
      </c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>
        <v>470966260</v>
      </c>
      <c r="AZ515" s="8"/>
      <c r="BA515" s="8">
        <f>VLOOKUP(B515,[1]Hoja3!J$3:K$674,2,0)</f>
        <v>787386918</v>
      </c>
      <c r="BB515" s="8"/>
      <c r="BC515" s="8">
        <f t="shared" si="61"/>
        <v>1442083848</v>
      </c>
      <c r="BD515" s="4">
        <v>470966260</v>
      </c>
      <c r="BE515" s="4">
        <f t="shared" si="62"/>
        <v>971117588</v>
      </c>
      <c r="BF515" s="30">
        <f t="shared" si="63"/>
        <v>1442083848</v>
      </c>
      <c r="BG515" s="18">
        <f t="shared" si="64"/>
        <v>0</v>
      </c>
      <c r="BH515" s="23"/>
      <c r="BI515" s="23"/>
      <c r="BJ515" s="23"/>
    </row>
    <row r="516" spans="1:66" ht="15" customHeight="1" x14ac:dyDescent="0.2">
      <c r="A516" s="1">
        <v>8000006818</v>
      </c>
      <c r="B516" s="1">
        <v>800000681</v>
      </c>
      <c r="C516" s="15">
        <v>219854398</v>
      </c>
      <c r="D516" s="16" t="s">
        <v>770</v>
      </c>
      <c r="E516" s="41" t="s">
        <v>1789</v>
      </c>
      <c r="F516" s="28"/>
      <c r="G516" s="2"/>
      <c r="H516" s="3"/>
      <c r="I516" s="2"/>
      <c r="J516" s="29"/>
      <c r="K516" s="3"/>
      <c r="L516" s="2"/>
      <c r="M516" s="8"/>
      <c r="N516" s="3"/>
      <c r="O516" s="2"/>
      <c r="P516" s="3"/>
      <c r="Q516" s="2"/>
      <c r="R516" s="3"/>
      <c r="S516" s="3"/>
      <c r="T516" s="2"/>
      <c r="U516" s="8">
        <f t="shared" si="66"/>
        <v>0</v>
      </c>
      <c r="V516" s="8"/>
      <c r="W516" s="8"/>
      <c r="X516" s="8"/>
      <c r="Y516" s="8"/>
      <c r="Z516" s="8"/>
      <c r="AA516" s="8"/>
      <c r="AB516" s="8"/>
      <c r="AC516" s="8">
        <f t="shared" ref="AC516:AC579" si="67">SUM(U516:AB516)</f>
        <v>0</v>
      </c>
      <c r="AD516" s="8"/>
      <c r="AE516" s="8"/>
      <c r="AF516" s="8"/>
      <c r="AG516" s="8"/>
      <c r="AH516" s="8"/>
      <c r="AI516" s="8"/>
      <c r="AJ516" s="8"/>
      <c r="AK516" s="8"/>
      <c r="AL516" s="8"/>
      <c r="AM516" s="8">
        <v>41313717</v>
      </c>
      <c r="AN516" s="8">
        <f>SUBTOTAL(9,AC516:AM516)</f>
        <v>41313717</v>
      </c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>
        <f>VLOOKUP(B516,[1]Hoja3!J$3:K$674,2,0)</f>
        <v>46329865</v>
      </c>
      <c r="BB516" s="8"/>
      <c r="BC516" s="8">
        <f t="shared" ref="BC516:BC579" si="68">SUM(AN516:BA516)-BB516</f>
        <v>87643582</v>
      </c>
      <c r="BD516" s="4"/>
      <c r="BE516" s="4">
        <f t="shared" ref="BE516:BE579" si="69">+AM516+BA516-BB516</f>
        <v>87643582</v>
      </c>
      <c r="BF516" s="30">
        <f t="shared" ref="BF516:BF579" si="70">+BD516+BE516</f>
        <v>87643582</v>
      </c>
      <c r="BG516" s="18">
        <f t="shared" ref="BG516:BG579" si="71">+BC516-BF516</f>
        <v>0</v>
      </c>
      <c r="BH516" s="23"/>
      <c r="BI516" s="23"/>
      <c r="BJ516" s="23"/>
    </row>
    <row r="517" spans="1:66" ht="15" customHeight="1" x14ac:dyDescent="0.2">
      <c r="A517" s="1">
        <v>8001033088</v>
      </c>
      <c r="B517" s="1">
        <v>800103308</v>
      </c>
      <c r="C517" s="15">
        <v>212499524</v>
      </c>
      <c r="D517" s="16" t="s">
        <v>998</v>
      </c>
      <c r="E517" s="41" t="s">
        <v>2056</v>
      </c>
      <c r="F517" s="28"/>
      <c r="G517" s="2"/>
      <c r="H517" s="3"/>
      <c r="I517" s="2"/>
      <c r="J517" s="29"/>
      <c r="K517" s="3"/>
      <c r="L517" s="2"/>
      <c r="M517" s="8"/>
      <c r="N517" s="3"/>
      <c r="O517" s="2"/>
      <c r="P517" s="3"/>
      <c r="Q517" s="2"/>
      <c r="R517" s="3"/>
      <c r="S517" s="3"/>
      <c r="T517" s="2"/>
      <c r="U517" s="8">
        <f t="shared" si="66"/>
        <v>0</v>
      </c>
      <c r="V517" s="8"/>
      <c r="W517" s="8"/>
      <c r="X517" s="8"/>
      <c r="Y517" s="8"/>
      <c r="Z517" s="8"/>
      <c r="AA517" s="8"/>
      <c r="AB517" s="8"/>
      <c r="AC517" s="8">
        <f t="shared" si="67"/>
        <v>0</v>
      </c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>
        <f>VLOOKUP(B517,[1]Hoja3!J$3:K$674,2,0)</f>
        <v>180494443</v>
      </c>
      <c r="BB517" s="8"/>
      <c r="BC517" s="8">
        <f t="shared" si="68"/>
        <v>180494443</v>
      </c>
      <c r="BD517" s="4"/>
      <c r="BE517" s="4">
        <f t="shared" si="69"/>
        <v>180494443</v>
      </c>
      <c r="BF517" s="30">
        <f t="shared" si="70"/>
        <v>180494443</v>
      </c>
      <c r="BG517" s="18">
        <f t="shared" si="71"/>
        <v>0</v>
      </c>
      <c r="BH517" s="23"/>
      <c r="BI517" s="23"/>
      <c r="BJ517" s="23"/>
    </row>
    <row r="518" spans="1:66" ht="15" customHeight="1" x14ac:dyDescent="0.2">
      <c r="A518" s="1">
        <v>8001036573</v>
      </c>
      <c r="B518" s="1">
        <v>800103657</v>
      </c>
      <c r="C518" s="15">
        <v>213685136</v>
      </c>
      <c r="D518" s="16" t="s">
        <v>959</v>
      </c>
      <c r="E518" s="41" t="s">
        <v>2020</v>
      </c>
      <c r="F518" s="28"/>
      <c r="G518" s="2"/>
      <c r="H518" s="3"/>
      <c r="I518" s="2"/>
      <c r="J518" s="29"/>
      <c r="K518" s="3"/>
      <c r="L518" s="2"/>
      <c r="M518" s="8"/>
      <c r="N518" s="3"/>
      <c r="O518" s="2"/>
      <c r="P518" s="3"/>
      <c r="Q518" s="2"/>
      <c r="R518" s="3"/>
      <c r="S518" s="3"/>
      <c r="T518" s="2"/>
      <c r="U518" s="8">
        <f t="shared" si="66"/>
        <v>0</v>
      </c>
      <c r="V518" s="8"/>
      <c r="W518" s="8"/>
      <c r="X518" s="8"/>
      <c r="Y518" s="8"/>
      <c r="Z518" s="8"/>
      <c r="AA518" s="8"/>
      <c r="AB518" s="8"/>
      <c r="AC518" s="8">
        <f t="shared" si="67"/>
        <v>0</v>
      </c>
      <c r="AD518" s="8"/>
      <c r="AE518" s="8"/>
      <c r="AF518" s="8"/>
      <c r="AG518" s="8"/>
      <c r="AH518" s="8"/>
      <c r="AI518" s="8"/>
      <c r="AJ518" s="8"/>
      <c r="AK518" s="8"/>
      <c r="AL518" s="8"/>
      <c r="AM518" s="8">
        <v>22018404</v>
      </c>
      <c r="AN518" s="8">
        <f>SUBTOTAL(9,AC518:AM518)</f>
        <v>22018404</v>
      </c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>
        <v>12790735</v>
      </c>
      <c r="AZ518" s="8"/>
      <c r="BA518" s="8"/>
      <c r="BB518" s="8"/>
      <c r="BC518" s="8">
        <f t="shared" si="68"/>
        <v>34809139</v>
      </c>
      <c r="BD518" s="4">
        <v>12790735</v>
      </c>
      <c r="BE518" s="4">
        <f t="shared" si="69"/>
        <v>22018404</v>
      </c>
      <c r="BF518" s="30">
        <f t="shared" si="70"/>
        <v>34809139</v>
      </c>
      <c r="BG518" s="18">
        <f t="shared" si="71"/>
        <v>0</v>
      </c>
      <c r="BH518" s="23"/>
      <c r="BI518" s="23"/>
      <c r="BJ518" s="23"/>
    </row>
    <row r="519" spans="1:66" ht="15" customHeight="1" x14ac:dyDescent="0.2">
      <c r="A519" s="1">
        <v>8915021693</v>
      </c>
      <c r="B519" s="1">
        <v>891502169</v>
      </c>
      <c r="C519" s="15">
        <v>219219392</v>
      </c>
      <c r="D519" s="16" t="s">
        <v>388</v>
      </c>
      <c r="E519" s="41" t="s">
        <v>1418</v>
      </c>
      <c r="F519" s="28"/>
      <c r="G519" s="2"/>
      <c r="H519" s="3"/>
      <c r="I519" s="2"/>
      <c r="J519" s="29"/>
      <c r="K519" s="3"/>
      <c r="L519" s="2"/>
      <c r="M519" s="8"/>
      <c r="N519" s="3"/>
      <c r="O519" s="2"/>
      <c r="P519" s="3"/>
      <c r="Q519" s="2"/>
      <c r="R519" s="3"/>
      <c r="S519" s="3"/>
      <c r="T519" s="2"/>
      <c r="U519" s="8">
        <f t="shared" si="66"/>
        <v>0</v>
      </c>
      <c r="V519" s="8"/>
      <c r="W519" s="8"/>
      <c r="X519" s="8"/>
      <c r="Y519" s="8"/>
      <c r="Z519" s="8"/>
      <c r="AA519" s="8"/>
      <c r="AB519" s="8"/>
      <c r="AC519" s="8">
        <f t="shared" si="67"/>
        <v>0</v>
      </c>
      <c r="AD519" s="8"/>
      <c r="AE519" s="8"/>
      <c r="AF519" s="8"/>
      <c r="AG519" s="8"/>
      <c r="AH519" s="8"/>
      <c r="AI519" s="8"/>
      <c r="AJ519" s="8"/>
      <c r="AK519" s="8"/>
      <c r="AL519" s="8"/>
      <c r="AM519" s="8">
        <v>31338136</v>
      </c>
      <c r="AN519" s="8">
        <f>SUBTOTAL(9,AC519:AM519)</f>
        <v>31338136</v>
      </c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>
        <f>VLOOKUP(B519,[1]Hoja3!J$3:K$674,2,0)</f>
        <v>89551340</v>
      </c>
      <c r="BB519" s="8"/>
      <c r="BC519" s="8">
        <f t="shared" si="68"/>
        <v>120889476</v>
      </c>
      <c r="BD519" s="4"/>
      <c r="BE519" s="4">
        <f t="shared" si="69"/>
        <v>120889476</v>
      </c>
      <c r="BF519" s="30">
        <f t="shared" si="70"/>
        <v>120889476</v>
      </c>
      <c r="BG519" s="18">
        <f t="shared" si="71"/>
        <v>0</v>
      </c>
      <c r="BH519" s="23"/>
      <c r="BI519" s="23"/>
      <c r="BJ519" s="23"/>
    </row>
    <row r="520" spans="1:66" ht="15" customHeight="1" x14ac:dyDescent="0.2">
      <c r="A520" s="1">
        <v>8900005641</v>
      </c>
      <c r="B520" s="1">
        <v>890000564</v>
      </c>
      <c r="C520" s="15">
        <v>210163401</v>
      </c>
      <c r="D520" s="16" t="s">
        <v>795</v>
      </c>
      <c r="E520" s="41" t="s">
        <v>1813</v>
      </c>
      <c r="F520" s="28"/>
      <c r="G520" s="2"/>
      <c r="H520" s="3"/>
      <c r="I520" s="2"/>
      <c r="J520" s="29"/>
      <c r="K520" s="3"/>
      <c r="L520" s="2"/>
      <c r="M520" s="8"/>
      <c r="N520" s="3"/>
      <c r="O520" s="2"/>
      <c r="P520" s="3"/>
      <c r="Q520" s="2"/>
      <c r="R520" s="3"/>
      <c r="S520" s="3"/>
      <c r="T520" s="2"/>
      <c r="U520" s="8">
        <f t="shared" si="66"/>
        <v>0</v>
      </c>
      <c r="V520" s="8"/>
      <c r="W520" s="8"/>
      <c r="X520" s="8"/>
      <c r="Y520" s="8"/>
      <c r="Z520" s="8"/>
      <c r="AA520" s="8"/>
      <c r="AB520" s="8"/>
      <c r="AC520" s="8">
        <f t="shared" si="67"/>
        <v>0</v>
      </c>
      <c r="AD520" s="8"/>
      <c r="AE520" s="8"/>
      <c r="AF520" s="8"/>
      <c r="AG520" s="8"/>
      <c r="AH520" s="8"/>
      <c r="AI520" s="8"/>
      <c r="AJ520" s="8"/>
      <c r="AK520" s="8"/>
      <c r="AL520" s="8"/>
      <c r="AM520" s="8">
        <v>344684072</v>
      </c>
      <c r="AN520" s="8">
        <f>SUBTOTAL(9,AC520:AM520)</f>
        <v>344684072</v>
      </c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>
        <v>238580900</v>
      </c>
      <c r="AZ520" s="8"/>
      <c r="BA520" s="8">
        <f>VLOOKUP(B520,[1]Hoja3!J$3:K$674,2,0)</f>
        <v>118467833</v>
      </c>
      <c r="BB520" s="8"/>
      <c r="BC520" s="8">
        <f t="shared" si="68"/>
        <v>701732805</v>
      </c>
      <c r="BD520" s="4">
        <v>238580900</v>
      </c>
      <c r="BE520" s="4">
        <f t="shared" si="69"/>
        <v>463151905</v>
      </c>
      <c r="BF520" s="30">
        <f t="shared" si="70"/>
        <v>701732805</v>
      </c>
      <c r="BG520" s="18">
        <f t="shared" si="71"/>
        <v>0</v>
      </c>
      <c r="BH520" s="23"/>
      <c r="BI520" s="23"/>
      <c r="BJ520" s="23"/>
    </row>
    <row r="521" spans="1:66" ht="15" customHeight="1" x14ac:dyDescent="0.2">
      <c r="A521" s="1">
        <v>8002225020</v>
      </c>
      <c r="B521" s="1">
        <v>800222502</v>
      </c>
      <c r="C521" s="15">
        <v>219052390</v>
      </c>
      <c r="D521" s="16" t="s">
        <v>720</v>
      </c>
      <c r="E521" s="41" t="s">
        <v>1743</v>
      </c>
      <c r="F521" s="28"/>
      <c r="G521" s="2"/>
      <c r="H521" s="3"/>
      <c r="I521" s="2"/>
      <c r="J521" s="29"/>
      <c r="K521" s="3"/>
      <c r="L521" s="2"/>
      <c r="M521" s="8"/>
      <c r="N521" s="3"/>
      <c r="O521" s="2"/>
      <c r="P521" s="3"/>
      <c r="Q521" s="2"/>
      <c r="R521" s="3"/>
      <c r="S521" s="3"/>
      <c r="T521" s="2"/>
      <c r="U521" s="8">
        <f t="shared" si="66"/>
        <v>0</v>
      </c>
      <c r="V521" s="8"/>
      <c r="W521" s="8"/>
      <c r="X521" s="8"/>
      <c r="Y521" s="8"/>
      <c r="Z521" s="8"/>
      <c r="AA521" s="8"/>
      <c r="AB521" s="8"/>
      <c r="AC521" s="8">
        <f t="shared" si="67"/>
        <v>0</v>
      </c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>
        <f>VLOOKUP(B521,[1]Hoja3!J$3:K$674,2,0)</f>
        <v>161318029</v>
      </c>
      <c r="BB521" s="8"/>
      <c r="BC521" s="8">
        <f t="shared" si="68"/>
        <v>161318029</v>
      </c>
      <c r="BD521" s="4"/>
      <c r="BE521" s="4">
        <f t="shared" si="69"/>
        <v>161318029</v>
      </c>
      <c r="BF521" s="30">
        <f t="shared" si="70"/>
        <v>161318029</v>
      </c>
      <c r="BG521" s="18">
        <f t="shared" si="71"/>
        <v>0</v>
      </c>
      <c r="BH521" s="23"/>
      <c r="BI521" s="23"/>
      <c r="BJ521" s="23"/>
    </row>
    <row r="522" spans="1:66" ht="15" customHeight="1" x14ac:dyDescent="0.2">
      <c r="A522" s="1">
        <v>8909819950</v>
      </c>
      <c r="B522" s="1">
        <v>890981995</v>
      </c>
      <c r="C522" s="15">
        <v>210005400</v>
      </c>
      <c r="D522" s="16" t="s">
        <v>104</v>
      </c>
      <c r="E522" s="41" t="s">
        <v>1135</v>
      </c>
      <c r="F522" s="28"/>
      <c r="G522" s="2"/>
      <c r="H522" s="3"/>
      <c r="I522" s="2"/>
      <c r="J522" s="29"/>
      <c r="K522" s="3"/>
      <c r="L522" s="2"/>
      <c r="M522" s="8"/>
      <c r="N522" s="3"/>
      <c r="O522" s="2"/>
      <c r="P522" s="3"/>
      <c r="Q522" s="2"/>
      <c r="R522" s="3"/>
      <c r="S522" s="3"/>
      <c r="T522" s="2"/>
      <c r="U522" s="8">
        <f t="shared" si="66"/>
        <v>0</v>
      </c>
      <c r="V522" s="8"/>
      <c r="W522" s="8"/>
      <c r="X522" s="8"/>
      <c r="Y522" s="8"/>
      <c r="Z522" s="8"/>
      <c r="AA522" s="8"/>
      <c r="AB522" s="8"/>
      <c r="AC522" s="8">
        <f t="shared" si="67"/>
        <v>0</v>
      </c>
      <c r="AD522" s="8"/>
      <c r="AE522" s="8"/>
      <c r="AF522" s="8"/>
      <c r="AG522" s="8"/>
      <c r="AH522" s="8"/>
      <c r="AI522" s="8"/>
      <c r="AJ522" s="8"/>
      <c r="AK522" s="8"/>
      <c r="AL522" s="8"/>
      <c r="AM522" s="8">
        <v>277733708</v>
      </c>
      <c r="AN522" s="8">
        <f>SUBTOTAL(9,AC522:AM522)</f>
        <v>277733708</v>
      </c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>
        <f t="shared" si="68"/>
        <v>277733708</v>
      </c>
      <c r="BD522" s="4"/>
      <c r="BE522" s="4">
        <f t="shared" si="69"/>
        <v>277733708</v>
      </c>
      <c r="BF522" s="30">
        <f t="shared" si="70"/>
        <v>277733708</v>
      </c>
      <c r="BG522" s="18">
        <f t="shared" si="71"/>
        <v>0</v>
      </c>
      <c r="BH522" s="23"/>
      <c r="BI522" s="23"/>
      <c r="BJ522" s="23"/>
    </row>
    <row r="523" spans="1:66" ht="15" customHeight="1" x14ac:dyDescent="0.2">
      <c r="A523" s="1">
        <v>8000991020</v>
      </c>
      <c r="B523" s="1">
        <v>800099102</v>
      </c>
      <c r="C523" s="15">
        <v>219952399</v>
      </c>
      <c r="D523" s="16" t="s">
        <v>721</v>
      </c>
      <c r="E523" s="41" t="s">
        <v>1744</v>
      </c>
      <c r="F523" s="28"/>
      <c r="G523" s="2"/>
      <c r="H523" s="3"/>
      <c r="I523" s="2"/>
      <c r="J523" s="29"/>
      <c r="K523" s="3"/>
      <c r="L523" s="2"/>
      <c r="M523" s="8"/>
      <c r="N523" s="3"/>
      <c r="O523" s="2"/>
      <c r="P523" s="3"/>
      <c r="Q523" s="2"/>
      <c r="R523" s="3"/>
      <c r="S523" s="3"/>
      <c r="T523" s="2"/>
      <c r="U523" s="8">
        <f t="shared" si="66"/>
        <v>0</v>
      </c>
      <c r="V523" s="8"/>
      <c r="W523" s="8"/>
      <c r="X523" s="8"/>
      <c r="Y523" s="8"/>
      <c r="Z523" s="8"/>
      <c r="AA523" s="8"/>
      <c r="AB523" s="8"/>
      <c r="AC523" s="8">
        <f t="shared" si="67"/>
        <v>0</v>
      </c>
      <c r="AD523" s="8"/>
      <c r="AE523" s="8"/>
      <c r="AF523" s="8"/>
      <c r="AG523" s="8"/>
      <c r="AH523" s="8"/>
      <c r="AI523" s="8"/>
      <c r="AJ523" s="8"/>
      <c r="AK523" s="8"/>
      <c r="AL523" s="8"/>
      <c r="AM523" s="8">
        <v>219463222</v>
      </c>
      <c r="AN523" s="8">
        <f>SUBTOTAL(9,AC523:AM523)</f>
        <v>219463222</v>
      </c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>
        <f>VLOOKUP(B523,[1]Hoja3!J$3:K$674,2,0)</f>
        <v>186010858</v>
      </c>
      <c r="BB523" s="8"/>
      <c r="BC523" s="8">
        <f t="shared" si="68"/>
        <v>405474080</v>
      </c>
      <c r="BD523" s="4"/>
      <c r="BE523" s="4">
        <f t="shared" si="69"/>
        <v>405474080</v>
      </c>
      <c r="BF523" s="30">
        <f t="shared" si="70"/>
        <v>405474080</v>
      </c>
      <c r="BG523" s="18">
        <f t="shared" si="71"/>
        <v>0</v>
      </c>
      <c r="BH523" s="23"/>
      <c r="BI523" s="23"/>
      <c r="BJ523" s="23"/>
    </row>
    <row r="524" spans="1:66" ht="15" customHeight="1" x14ac:dyDescent="0.2">
      <c r="A524" s="1">
        <v>8000503319</v>
      </c>
      <c r="B524" s="1">
        <v>800050331</v>
      </c>
      <c r="C524" s="15">
        <v>210070400</v>
      </c>
      <c r="D524" s="16" t="s">
        <v>899</v>
      </c>
      <c r="E524" s="41" t="s">
        <v>1913</v>
      </c>
      <c r="F524" s="28"/>
      <c r="G524" s="2"/>
      <c r="H524" s="3"/>
      <c r="I524" s="2"/>
      <c r="J524" s="29"/>
      <c r="K524" s="3"/>
      <c r="L524" s="2"/>
      <c r="M524" s="8"/>
      <c r="N524" s="3"/>
      <c r="O524" s="2"/>
      <c r="P524" s="3"/>
      <c r="Q524" s="2"/>
      <c r="R524" s="3"/>
      <c r="S524" s="3"/>
      <c r="T524" s="2"/>
      <c r="U524" s="8">
        <f t="shared" si="66"/>
        <v>0</v>
      </c>
      <c r="V524" s="8"/>
      <c r="W524" s="8"/>
      <c r="X524" s="8"/>
      <c r="Y524" s="8"/>
      <c r="Z524" s="8"/>
      <c r="AA524" s="8"/>
      <c r="AB524" s="8"/>
      <c r="AC524" s="8">
        <f t="shared" si="67"/>
        <v>0</v>
      </c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>
        <f>VLOOKUP(B524,[1]Hoja3!J$3:K$674,2,0)</f>
        <v>233065584</v>
      </c>
      <c r="BB524" s="8"/>
      <c r="BC524" s="8">
        <f t="shared" si="68"/>
        <v>233065584</v>
      </c>
      <c r="BD524" s="4"/>
      <c r="BE524" s="4">
        <f t="shared" si="69"/>
        <v>233065584</v>
      </c>
      <c r="BF524" s="30">
        <f t="shared" si="70"/>
        <v>233065584</v>
      </c>
      <c r="BG524" s="18">
        <f t="shared" si="71"/>
        <v>0</v>
      </c>
      <c r="BH524" s="23"/>
      <c r="BI524" s="23"/>
      <c r="BJ524" s="23"/>
    </row>
    <row r="525" spans="1:66" ht="15" customHeight="1" x14ac:dyDescent="0.2">
      <c r="A525" s="1">
        <v>8919011093</v>
      </c>
      <c r="B525" s="1">
        <v>891901109</v>
      </c>
      <c r="C525" s="15">
        <v>210076400</v>
      </c>
      <c r="D525" s="16" t="s">
        <v>931</v>
      </c>
      <c r="E525" s="41" t="s">
        <v>1992</v>
      </c>
      <c r="F525" s="28"/>
      <c r="G525" s="2"/>
      <c r="H525" s="3"/>
      <c r="I525" s="2"/>
      <c r="J525" s="29"/>
      <c r="K525" s="3"/>
      <c r="L525" s="2"/>
      <c r="M525" s="8"/>
      <c r="N525" s="3"/>
      <c r="O525" s="2"/>
      <c r="P525" s="3"/>
      <c r="Q525" s="2"/>
      <c r="R525" s="3"/>
      <c r="S525" s="3"/>
      <c r="T525" s="2"/>
      <c r="U525" s="8">
        <f t="shared" si="66"/>
        <v>0</v>
      </c>
      <c r="V525" s="8"/>
      <c r="W525" s="8"/>
      <c r="X525" s="8"/>
      <c r="Y525" s="8"/>
      <c r="Z525" s="8"/>
      <c r="AA525" s="8"/>
      <c r="AB525" s="8"/>
      <c r="AC525" s="8">
        <f t="shared" si="67"/>
        <v>0</v>
      </c>
      <c r="AD525" s="8"/>
      <c r="AE525" s="8"/>
      <c r="AF525" s="8"/>
      <c r="AG525" s="8"/>
      <c r="AH525" s="8"/>
      <c r="AI525" s="8"/>
      <c r="AJ525" s="8"/>
      <c r="AK525" s="8"/>
      <c r="AL525" s="8"/>
      <c r="AM525" s="8">
        <v>421175000</v>
      </c>
      <c r="AN525" s="8">
        <f>SUBTOTAL(9,AC525:AM525)</f>
        <v>421175000</v>
      </c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>
        <v>200281070</v>
      </c>
      <c r="AZ525" s="8"/>
      <c r="BA525" s="8"/>
      <c r="BB525" s="8"/>
      <c r="BC525" s="8">
        <f t="shared" si="68"/>
        <v>621456070</v>
      </c>
      <c r="BD525" s="4">
        <v>200281070</v>
      </c>
      <c r="BE525" s="4">
        <f t="shared" si="69"/>
        <v>421175000</v>
      </c>
      <c r="BF525" s="30">
        <f t="shared" si="70"/>
        <v>621456070</v>
      </c>
      <c r="BG525" s="18">
        <f t="shared" si="71"/>
        <v>0</v>
      </c>
      <c r="BH525" s="23"/>
      <c r="BI525" s="23"/>
      <c r="BJ525" s="23"/>
    </row>
    <row r="526" spans="1:66" ht="15" customHeight="1" x14ac:dyDescent="0.2">
      <c r="A526" s="1">
        <v>8001284281</v>
      </c>
      <c r="B526" s="1">
        <v>800128428</v>
      </c>
      <c r="C526" s="15">
        <v>217050370</v>
      </c>
      <c r="D526" s="16" t="s">
        <v>680</v>
      </c>
      <c r="E526" s="41" t="s">
        <v>1702</v>
      </c>
      <c r="F526" s="28"/>
      <c r="G526" s="2"/>
      <c r="H526" s="3"/>
      <c r="I526" s="2"/>
      <c r="J526" s="29"/>
      <c r="K526" s="3"/>
      <c r="L526" s="2"/>
      <c r="M526" s="8"/>
      <c r="N526" s="3"/>
      <c r="O526" s="2"/>
      <c r="P526" s="3"/>
      <c r="Q526" s="2"/>
      <c r="R526" s="3"/>
      <c r="S526" s="3"/>
      <c r="T526" s="2"/>
      <c r="U526" s="8">
        <f t="shared" si="66"/>
        <v>0</v>
      </c>
      <c r="V526" s="8"/>
      <c r="W526" s="8"/>
      <c r="X526" s="8"/>
      <c r="Y526" s="8"/>
      <c r="Z526" s="8"/>
      <c r="AA526" s="8"/>
      <c r="AB526" s="8"/>
      <c r="AC526" s="8">
        <f t="shared" si="67"/>
        <v>0</v>
      </c>
      <c r="AD526" s="8"/>
      <c r="AE526" s="8"/>
      <c r="AF526" s="8"/>
      <c r="AG526" s="8"/>
      <c r="AH526" s="8"/>
      <c r="AI526" s="8"/>
      <c r="AJ526" s="8"/>
      <c r="AK526" s="8"/>
      <c r="AL526" s="8"/>
      <c r="AM526" s="8">
        <v>58493713</v>
      </c>
      <c r="AN526" s="8">
        <f>SUBTOTAL(9,AC526:AM526)</f>
        <v>58493713</v>
      </c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>
        <v>81841095</v>
      </c>
      <c r="AZ526" s="8"/>
      <c r="BA526" s="8"/>
      <c r="BB526" s="8"/>
      <c r="BC526" s="8">
        <f t="shared" si="68"/>
        <v>140334808</v>
      </c>
      <c r="BD526" s="4">
        <v>81841095</v>
      </c>
      <c r="BE526" s="4">
        <f t="shared" si="69"/>
        <v>58493713</v>
      </c>
      <c r="BF526" s="30">
        <f t="shared" si="70"/>
        <v>140334808</v>
      </c>
      <c r="BG526" s="18">
        <f t="shared" si="71"/>
        <v>0</v>
      </c>
      <c r="BH526" s="23"/>
      <c r="BI526" s="23"/>
      <c r="BJ526" s="23"/>
    </row>
    <row r="527" spans="1:66" ht="15" customHeight="1" x14ac:dyDescent="0.2">
      <c r="A527" s="1">
        <v>8918562572</v>
      </c>
      <c r="B527" s="1">
        <v>891856257</v>
      </c>
      <c r="C527" s="15">
        <v>210315403</v>
      </c>
      <c r="D527" s="16" t="s">
        <v>264</v>
      </c>
      <c r="E527" s="41" t="s">
        <v>1298</v>
      </c>
      <c r="F527" s="28"/>
      <c r="G527" s="17"/>
      <c r="H527" s="3"/>
      <c r="I527" s="2"/>
      <c r="J527" s="29"/>
      <c r="K527" s="3"/>
      <c r="L527" s="17"/>
      <c r="M527" s="34"/>
      <c r="N527" s="3"/>
      <c r="O527" s="17"/>
      <c r="P527" s="3"/>
      <c r="Q527" s="2"/>
      <c r="R527" s="3"/>
      <c r="S527" s="3"/>
      <c r="T527" s="17"/>
      <c r="U527" s="8">
        <f t="shared" si="66"/>
        <v>0</v>
      </c>
      <c r="V527" s="8"/>
      <c r="W527" s="8"/>
      <c r="X527" s="8"/>
      <c r="Y527" s="8"/>
      <c r="Z527" s="8"/>
      <c r="AA527" s="8"/>
      <c r="AB527" s="8"/>
      <c r="AC527" s="8">
        <f t="shared" si="67"/>
        <v>0</v>
      </c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>
        <v>23300025</v>
      </c>
      <c r="AZ527" s="8"/>
      <c r="BA527" s="8">
        <f>VLOOKUP(B527,[1]Hoja3!J$3:K$674,2,0)</f>
        <v>40950047</v>
      </c>
      <c r="BB527" s="8"/>
      <c r="BC527" s="8">
        <f t="shared" si="68"/>
        <v>64250072</v>
      </c>
      <c r="BD527" s="4">
        <v>23300025</v>
      </c>
      <c r="BE527" s="4">
        <f t="shared" si="69"/>
        <v>40950047</v>
      </c>
      <c r="BF527" s="30">
        <f t="shared" si="70"/>
        <v>64250072</v>
      </c>
      <c r="BG527" s="18">
        <f t="shared" si="71"/>
        <v>0</v>
      </c>
      <c r="BH527" s="23"/>
      <c r="BI527" s="14"/>
      <c r="BJ527" s="14"/>
      <c r="BK527" s="14"/>
      <c r="BL527" s="14"/>
      <c r="BM527" s="14"/>
      <c r="BN527" s="14"/>
    </row>
    <row r="528" spans="1:66" ht="15" customHeight="1" x14ac:dyDescent="0.2">
      <c r="A528" s="1">
        <v>8915009976</v>
      </c>
      <c r="B528" s="1">
        <v>891500997</v>
      </c>
      <c r="C528" s="15">
        <v>219719397</v>
      </c>
      <c r="D528" s="16" t="s">
        <v>389</v>
      </c>
      <c r="E528" s="60" t="s">
        <v>2265</v>
      </c>
      <c r="F528" s="28"/>
      <c r="G528" s="2"/>
      <c r="H528" s="3"/>
      <c r="I528" s="2"/>
      <c r="J528" s="29"/>
      <c r="K528" s="3"/>
      <c r="L528" s="2"/>
      <c r="M528" s="8"/>
      <c r="N528" s="3"/>
      <c r="O528" s="2"/>
      <c r="P528" s="3"/>
      <c r="Q528" s="2"/>
      <c r="R528" s="3"/>
      <c r="S528" s="3"/>
      <c r="T528" s="2"/>
      <c r="U528" s="8">
        <f t="shared" si="66"/>
        <v>0</v>
      </c>
      <c r="V528" s="8"/>
      <c r="W528" s="8"/>
      <c r="X528" s="8"/>
      <c r="Y528" s="8"/>
      <c r="Z528" s="8"/>
      <c r="AA528" s="8"/>
      <c r="AB528" s="8"/>
      <c r="AC528" s="8">
        <f t="shared" si="67"/>
        <v>0</v>
      </c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>
        <f>VLOOKUP(B528,[1]Hoja3!J$3:K$674,2,0)</f>
        <v>198836848</v>
      </c>
      <c r="BB528" s="8"/>
      <c r="BC528" s="8">
        <f t="shared" si="68"/>
        <v>198836848</v>
      </c>
      <c r="BD528" s="4"/>
      <c r="BE528" s="4">
        <f t="shared" si="69"/>
        <v>198836848</v>
      </c>
      <c r="BF528" s="30">
        <f t="shared" si="70"/>
        <v>198836848</v>
      </c>
      <c r="BG528" s="18">
        <f t="shared" si="71"/>
        <v>0</v>
      </c>
      <c r="BH528" s="23"/>
      <c r="BI528" s="23"/>
      <c r="BJ528" s="23"/>
    </row>
    <row r="529" spans="1:66" ht="15" customHeight="1" x14ac:dyDescent="0.2">
      <c r="A529" s="1">
        <v>8000734751</v>
      </c>
      <c r="B529" s="1">
        <v>800073475</v>
      </c>
      <c r="C529" s="15">
        <v>210225402</v>
      </c>
      <c r="D529" s="16" t="s">
        <v>508</v>
      </c>
      <c r="E529" s="41" t="s">
        <v>1533</v>
      </c>
      <c r="F529" s="28"/>
      <c r="G529" s="2"/>
      <c r="H529" s="3"/>
      <c r="I529" s="2"/>
      <c r="J529" s="29"/>
      <c r="K529" s="3"/>
      <c r="L529" s="2"/>
      <c r="M529" s="8"/>
      <c r="N529" s="3"/>
      <c r="O529" s="2"/>
      <c r="P529" s="3"/>
      <c r="Q529" s="2"/>
      <c r="R529" s="3"/>
      <c r="S529" s="3"/>
      <c r="T529" s="2"/>
      <c r="U529" s="8">
        <f t="shared" si="66"/>
        <v>0</v>
      </c>
      <c r="V529" s="8"/>
      <c r="W529" s="8"/>
      <c r="X529" s="8"/>
      <c r="Y529" s="8"/>
      <c r="Z529" s="8"/>
      <c r="AA529" s="8"/>
      <c r="AB529" s="8"/>
      <c r="AC529" s="8">
        <f t="shared" si="67"/>
        <v>0</v>
      </c>
      <c r="AD529" s="8"/>
      <c r="AE529" s="8"/>
      <c r="AF529" s="8"/>
      <c r="AG529" s="8"/>
      <c r="AH529" s="8"/>
      <c r="AI529" s="8"/>
      <c r="AJ529" s="8"/>
      <c r="AK529" s="8"/>
      <c r="AL529" s="8"/>
      <c r="AM529" s="8">
        <v>235285967</v>
      </c>
      <c r="AN529" s="8">
        <f>SUBTOTAL(9,AC529:AM529)</f>
        <v>235285967</v>
      </c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>
        <f t="shared" si="68"/>
        <v>235285967</v>
      </c>
      <c r="BD529" s="4"/>
      <c r="BE529" s="4">
        <f t="shared" si="69"/>
        <v>235285967</v>
      </c>
      <c r="BF529" s="30">
        <f t="shared" si="70"/>
        <v>235285967</v>
      </c>
      <c r="BG529" s="18">
        <f t="shared" si="71"/>
        <v>0</v>
      </c>
      <c r="BH529" s="23"/>
      <c r="BI529" s="23"/>
      <c r="BJ529" s="23"/>
    </row>
    <row r="530" spans="1:66" ht="15" customHeight="1" x14ac:dyDescent="0.2">
      <c r="A530" s="1">
        <v>8000065412</v>
      </c>
      <c r="B530" s="1">
        <v>800006541</v>
      </c>
      <c r="C530" s="15">
        <v>210115401</v>
      </c>
      <c r="D530" s="16" t="s">
        <v>263</v>
      </c>
      <c r="E530" s="41" t="s">
        <v>1297</v>
      </c>
      <c r="F530" s="28"/>
      <c r="G530" s="2"/>
      <c r="H530" s="3"/>
      <c r="I530" s="2"/>
      <c r="J530" s="29"/>
      <c r="K530" s="3"/>
      <c r="L530" s="2"/>
      <c r="M530" s="8"/>
      <c r="N530" s="3"/>
      <c r="O530" s="2"/>
      <c r="P530" s="3"/>
      <c r="Q530" s="2"/>
      <c r="R530" s="3"/>
      <c r="S530" s="3"/>
      <c r="T530" s="2"/>
      <c r="U530" s="8">
        <f t="shared" si="66"/>
        <v>0</v>
      </c>
      <c r="V530" s="8"/>
      <c r="W530" s="8"/>
      <c r="X530" s="8"/>
      <c r="Y530" s="8"/>
      <c r="Z530" s="8"/>
      <c r="AA530" s="8"/>
      <c r="AB530" s="8"/>
      <c r="AC530" s="8">
        <f t="shared" si="67"/>
        <v>0</v>
      </c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>
        <v>10518050</v>
      </c>
      <c r="AZ530" s="8"/>
      <c r="BA530" s="8">
        <f>VLOOKUP(B530,[1]Hoja3!J$3:K$674,2,0)</f>
        <v>16239937</v>
      </c>
      <c r="BB530" s="8"/>
      <c r="BC530" s="8">
        <f t="shared" si="68"/>
        <v>26757987</v>
      </c>
      <c r="BD530" s="4">
        <v>10518050</v>
      </c>
      <c r="BE530" s="4">
        <f t="shared" si="69"/>
        <v>16239937</v>
      </c>
      <c r="BF530" s="30">
        <f t="shared" si="70"/>
        <v>26757987</v>
      </c>
      <c r="BG530" s="18">
        <f t="shared" si="71"/>
        <v>0</v>
      </c>
      <c r="BH530" s="23"/>
      <c r="BI530" s="23"/>
      <c r="BJ530" s="23"/>
    </row>
    <row r="531" spans="1:66" ht="15" customHeight="1" x14ac:dyDescent="0.2">
      <c r="A531" s="1">
        <v>8001005249</v>
      </c>
      <c r="B531" s="1">
        <v>800100524</v>
      </c>
      <c r="C531" s="15">
        <v>210376403</v>
      </c>
      <c r="D531" s="16" t="s">
        <v>932</v>
      </c>
      <c r="E531" s="41" t="s">
        <v>1993</v>
      </c>
      <c r="F531" s="28"/>
      <c r="G531" s="17"/>
      <c r="H531" s="3"/>
      <c r="I531" s="2"/>
      <c r="J531" s="29"/>
      <c r="K531" s="3"/>
      <c r="L531" s="17"/>
      <c r="M531" s="34"/>
      <c r="N531" s="3"/>
      <c r="O531" s="17"/>
      <c r="P531" s="3"/>
      <c r="Q531" s="2"/>
      <c r="R531" s="3"/>
      <c r="S531" s="3"/>
      <c r="T531" s="17"/>
      <c r="U531" s="8">
        <f t="shared" si="66"/>
        <v>0</v>
      </c>
      <c r="V531" s="8"/>
      <c r="W531" s="8"/>
      <c r="X531" s="8"/>
      <c r="Y531" s="8"/>
      <c r="Z531" s="8"/>
      <c r="AA531" s="8"/>
      <c r="AB531" s="8"/>
      <c r="AC531" s="8">
        <f t="shared" si="67"/>
        <v>0</v>
      </c>
      <c r="AD531" s="8"/>
      <c r="AE531" s="8"/>
      <c r="AF531" s="8"/>
      <c r="AG531" s="8"/>
      <c r="AH531" s="8"/>
      <c r="AI531" s="8"/>
      <c r="AJ531" s="8"/>
      <c r="AK531" s="8"/>
      <c r="AL531" s="8"/>
      <c r="AM531" s="8">
        <v>169945868</v>
      </c>
      <c r="AN531" s="8">
        <f>SUBTOTAL(9,AC531:AM531)</f>
        <v>169945868</v>
      </c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>
        <v>97572235</v>
      </c>
      <c r="AZ531" s="8"/>
      <c r="BA531" s="8"/>
      <c r="BB531" s="8"/>
      <c r="BC531" s="8">
        <f t="shared" si="68"/>
        <v>267518103</v>
      </c>
      <c r="BD531" s="4">
        <v>97572235</v>
      </c>
      <c r="BE531" s="4">
        <f t="shared" si="69"/>
        <v>169945868</v>
      </c>
      <c r="BF531" s="30">
        <f t="shared" si="70"/>
        <v>267518103</v>
      </c>
      <c r="BG531" s="18">
        <f t="shared" si="71"/>
        <v>0</v>
      </c>
      <c r="BH531" s="23"/>
      <c r="BI531" s="14"/>
      <c r="BJ531" s="14"/>
      <c r="BK531" s="14"/>
      <c r="BL531" s="14"/>
      <c r="BM531" s="14"/>
      <c r="BN531" s="14"/>
    </row>
    <row r="532" spans="1:66" ht="15" customHeight="1" x14ac:dyDescent="0.2">
      <c r="A532" s="1">
        <v>8914800271</v>
      </c>
      <c r="B532" s="1">
        <v>891480027</v>
      </c>
      <c r="C532" s="15">
        <v>210066400</v>
      </c>
      <c r="D532" s="16" t="s">
        <v>805</v>
      </c>
      <c r="E532" s="41" t="s">
        <v>1823</v>
      </c>
      <c r="F532" s="28"/>
      <c r="G532" s="2"/>
      <c r="H532" s="3"/>
      <c r="I532" s="2"/>
      <c r="J532" s="29"/>
      <c r="K532" s="3"/>
      <c r="L532" s="2"/>
      <c r="M532" s="8"/>
      <c r="N532" s="3"/>
      <c r="O532" s="2"/>
      <c r="P532" s="3"/>
      <c r="Q532" s="2"/>
      <c r="R532" s="3"/>
      <c r="S532" s="3"/>
      <c r="T532" s="2"/>
      <c r="U532" s="8">
        <f t="shared" si="66"/>
        <v>0</v>
      </c>
      <c r="V532" s="8"/>
      <c r="W532" s="8"/>
      <c r="X532" s="8"/>
      <c r="Y532" s="8"/>
      <c r="Z532" s="8"/>
      <c r="AA532" s="8"/>
      <c r="AB532" s="8"/>
      <c r="AC532" s="8">
        <f t="shared" si="67"/>
        <v>0</v>
      </c>
      <c r="AD532" s="8"/>
      <c r="AE532" s="8"/>
      <c r="AF532" s="8"/>
      <c r="AG532" s="8"/>
      <c r="AH532" s="8"/>
      <c r="AI532" s="8"/>
      <c r="AJ532" s="8"/>
      <c r="AK532" s="8"/>
      <c r="AL532" s="8"/>
      <c r="AM532" s="8">
        <v>405195911</v>
      </c>
      <c r="AN532" s="8">
        <f>SUBTOTAL(9,AC532:AM532)</f>
        <v>405195911</v>
      </c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>
        <v>214648040</v>
      </c>
      <c r="AZ532" s="8"/>
      <c r="BA532" s="8"/>
      <c r="BB532" s="8"/>
      <c r="BC532" s="8">
        <f t="shared" si="68"/>
        <v>619843951</v>
      </c>
      <c r="BD532" s="4">
        <v>214648040</v>
      </c>
      <c r="BE532" s="4">
        <f t="shared" si="69"/>
        <v>405195911</v>
      </c>
      <c r="BF532" s="30">
        <f t="shared" si="70"/>
        <v>619843951</v>
      </c>
      <c r="BG532" s="18">
        <f t="shared" si="71"/>
        <v>0</v>
      </c>
      <c r="BH532" s="23"/>
      <c r="BI532" s="23"/>
      <c r="BJ532" s="23"/>
    </row>
    <row r="533" spans="1:66" ht="15" customHeight="1" x14ac:dyDescent="0.2">
      <c r="A533" s="1">
        <v>8905036807</v>
      </c>
      <c r="B533" s="1">
        <v>890503680</v>
      </c>
      <c r="C533" s="15">
        <v>217754377</v>
      </c>
      <c r="D533" s="16" t="s">
        <v>768</v>
      </c>
      <c r="E533" s="41" t="s">
        <v>1787</v>
      </c>
      <c r="F533" s="28"/>
      <c r="G533" s="2"/>
      <c r="H533" s="3"/>
      <c r="I533" s="2"/>
      <c r="J533" s="29"/>
      <c r="K533" s="3"/>
      <c r="L533" s="2"/>
      <c r="M533" s="8"/>
      <c r="N533" s="3"/>
      <c r="O533" s="2"/>
      <c r="P533" s="3"/>
      <c r="Q533" s="2"/>
      <c r="R533" s="3"/>
      <c r="S533" s="3"/>
      <c r="T533" s="2"/>
      <c r="U533" s="8">
        <f t="shared" si="66"/>
        <v>0</v>
      </c>
      <c r="V533" s="8"/>
      <c r="W533" s="8"/>
      <c r="X533" s="8"/>
      <c r="Y533" s="8"/>
      <c r="Z533" s="8"/>
      <c r="AA533" s="8"/>
      <c r="AB533" s="8"/>
      <c r="AC533" s="8">
        <f t="shared" si="67"/>
        <v>0</v>
      </c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>
        <v>40051040</v>
      </c>
      <c r="AZ533" s="8"/>
      <c r="BA533" s="8">
        <f>VLOOKUP(B533,[1]Hoja3!J$3:K$674,2,0)</f>
        <v>82988126</v>
      </c>
      <c r="BB533" s="8"/>
      <c r="BC533" s="8">
        <f t="shared" si="68"/>
        <v>123039166</v>
      </c>
      <c r="BD533" s="4">
        <v>40051040</v>
      </c>
      <c r="BE533" s="4">
        <f t="shared" si="69"/>
        <v>82988126</v>
      </c>
      <c r="BF533" s="30">
        <f t="shared" si="70"/>
        <v>123039166</v>
      </c>
      <c r="BG533" s="18">
        <f t="shared" si="71"/>
        <v>0</v>
      </c>
      <c r="BH533" s="23"/>
      <c r="BI533" s="23"/>
      <c r="BJ533" s="23"/>
    </row>
    <row r="534" spans="1:66" ht="15" customHeight="1" x14ac:dyDescent="0.2">
      <c r="A534" s="1">
        <v>8000992068</v>
      </c>
      <c r="B534" s="1">
        <v>800099206</v>
      </c>
      <c r="C534" s="15">
        <v>217715377</v>
      </c>
      <c r="D534" s="16" t="s">
        <v>261</v>
      </c>
      <c r="E534" s="41" t="s">
        <v>1295</v>
      </c>
      <c r="F534" s="28"/>
      <c r="G534" s="17"/>
      <c r="H534" s="3"/>
      <c r="I534" s="2"/>
      <c r="J534" s="29"/>
      <c r="K534" s="3"/>
      <c r="L534" s="17"/>
      <c r="M534" s="34"/>
      <c r="N534" s="3"/>
      <c r="O534" s="17"/>
      <c r="P534" s="3"/>
      <c r="Q534" s="2"/>
      <c r="R534" s="3"/>
      <c r="S534" s="3"/>
      <c r="T534" s="17"/>
      <c r="U534" s="8">
        <f t="shared" si="66"/>
        <v>0</v>
      </c>
      <c r="V534" s="8"/>
      <c r="W534" s="8"/>
      <c r="X534" s="8"/>
      <c r="Y534" s="8"/>
      <c r="Z534" s="8"/>
      <c r="AA534" s="8"/>
      <c r="AB534" s="8"/>
      <c r="AC534" s="8">
        <f t="shared" si="67"/>
        <v>0</v>
      </c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>
        <v>33827290</v>
      </c>
      <c r="AZ534" s="8"/>
      <c r="BA534" s="8">
        <f>VLOOKUP(B534,[1]Hoja3!J$3:K$674,2,0)</f>
        <v>39983957</v>
      </c>
      <c r="BB534" s="8"/>
      <c r="BC534" s="8">
        <f t="shared" si="68"/>
        <v>73811247</v>
      </c>
      <c r="BD534" s="4">
        <v>33827290</v>
      </c>
      <c r="BE534" s="4">
        <f t="shared" si="69"/>
        <v>39983957</v>
      </c>
      <c r="BF534" s="30">
        <f t="shared" si="70"/>
        <v>73811247</v>
      </c>
      <c r="BG534" s="18">
        <f t="shared" si="71"/>
        <v>0</v>
      </c>
      <c r="BH534" s="23"/>
      <c r="BI534" s="14"/>
      <c r="BJ534" s="14"/>
      <c r="BK534" s="14"/>
      <c r="BL534" s="14"/>
      <c r="BM534" s="14"/>
      <c r="BN534" s="14"/>
    </row>
    <row r="535" spans="1:66" ht="15" customHeight="1" x14ac:dyDescent="0.2">
      <c r="A535" s="1">
        <v>8902107047</v>
      </c>
      <c r="B535" s="1">
        <v>890210704</v>
      </c>
      <c r="C535" s="15">
        <v>218568385</v>
      </c>
      <c r="D535" s="16" t="s">
        <v>851</v>
      </c>
      <c r="E535" s="41" t="s">
        <v>1866</v>
      </c>
      <c r="F535" s="28"/>
      <c r="G535" s="2"/>
      <c r="H535" s="3"/>
      <c r="I535" s="2"/>
      <c r="J535" s="29"/>
      <c r="K535" s="3"/>
      <c r="L535" s="2"/>
      <c r="M535" s="8"/>
      <c r="N535" s="3"/>
      <c r="O535" s="2"/>
      <c r="P535" s="3"/>
      <c r="Q535" s="2"/>
      <c r="R535" s="3"/>
      <c r="S535" s="3"/>
      <c r="T535" s="2"/>
      <c r="U535" s="8">
        <f t="shared" si="66"/>
        <v>0</v>
      </c>
      <c r="V535" s="8"/>
      <c r="W535" s="8"/>
      <c r="X535" s="8"/>
      <c r="Y535" s="8"/>
      <c r="Z535" s="8"/>
      <c r="AA535" s="8"/>
      <c r="AB535" s="8"/>
      <c r="AC535" s="8">
        <f t="shared" si="67"/>
        <v>0</v>
      </c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>
        <f>VLOOKUP(B535,[1]Hoja3!J$3:K$674,2,0)</f>
        <v>195830741</v>
      </c>
      <c r="BB535" s="8"/>
      <c r="BC535" s="8">
        <f t="shared" si="68"/>
        <v>195830741</v>
      </c>
      <c r="BD535" s="4"/>
      <c r="BE535" s="4">
        <f t="shared" si="69"/>
        <v>195830741</v>
      </c>
      <c r="BF535" s="30">
        <f t="shared" si="70"/>
        <v>195830741</v>
      </c>
      <c r="BG535" s="18">
        <f t="shared" si="71"/>
        <v>0</v>
      </c>
      <c r="BH535" s="23"/>
      <c r="BI535" s="23"/>
      <c r="BJ535" s="23"/>
    </row>
    <row r="536" spans="1:66" ht="15" customHeight="1" x14ac:dyDescent="0.2">
      <c r="A536" s="1">
        <v>8902061107</v>
      </c>
      <c r="B536" s="1">
        <v>890206110</v>
      </c>
      <c r="C536" s="15">
        <v>210668406</v>
      </c>
      <c r="D536" s="16" t="s">
        <v>853</v>
      </c>
      <c r="E536" s="41" t="s">
        <v>1868</v>
      </c>
      <c r="F536" s="28"/>
      <c r="G536" s="2"/>
      <c r="H536" s="3"/>
      <c r="I536" s="2"/>
      <c r="J536" s="29"/>
      <c r="K536" s="3"/>
      <c r="L536" s="2"/>
      <c r="M536" s="8"/>
      <c r="N536" s="3"/>
      <c r="O536" s="2"/>
      <c r="P536" s="3"/>
      <c r="Q536" s="2"/>
      <c r="R536" s="3"/>
      <c r="S536" s="3"/>
      <c r="T536" s="2"/>
      <c r="U536" s="8">
        <f t="shared" si="66"/>
        <v>0</v>
      </c>
      <c r="V536" s="8"/>
      <c r="W536" s="8"/>
      <c r="X536" s="8"/>
      <c r="Y536" s="8"/>
      <c r="Z536" s="8"/>
      <c r="AA536" s="8"/>
      <c r="AB536" s="8"/>
      <c r="AC536" s="8">
        <f t="shared" si="67"/>
        <v>0</v>
      </c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>
        <v>181981915</v>
      </c>
      <c r="AZ536" s="8"/>
      <c r="BA536" s="8">
        <f>VLOOKUP(B536,[1]Hoja3!J$3:K$674,2,0)</f>
        <v>537306927</v>
      </c>
      <c r="BB536" s="8"/>
      <c r="BC536" s="8">
        <f t="shared" si="68"/>
        <v>719288842</v>
      </c>
      <c r="BD536" s="4">
        <v>181981915</v>
      </c>
      <c r="BE536" s="4">
        <f t="shared" si="69"/>
        <v>537306927</v>
      </c>
      <c r="BF536" s="30">
        <f t="shared" si="70"/>
        <v>719288842</v>
      </c>
      <c r="BG536" s="18">
        <f t="shared" si="71"/>
        <v>0</v>
      </c>
      <c r="BH536" s="23"/>
      <c r="BI536" s="23"/>
      <c r="BJ536" s="23"/>
    </row>
    <row r="537" spans="1:66" ht="15" customHeight="1" x14ac:dyDescent="0.2">
      <c r="A537" s="1">
        <v>8000191115</v>
      </c>
      <c r="B537" s="1">
        <v>800019111</v>
      </c>
      <c r="C537" s="15">
        <v>210552405</v>
      </c>
      <c r="D537" s="16" t="s">
        <v>722</v>
      </c>
      <c r="E537" s="41" t="s">
        <v>1745</v>
      </c>
      <c r="F537" s="28"/>
      <c r="G537" s="2"/>
      <c r="H537" s="3"/>
      <c r="I537" s="2"/>
      <c r="J537" s="29"/>
      <c r="K537" s="3"/>
      <c r="L537" s="2"/>
      <c r="M537" s="8"/>
      <c r="N537" s="3"/>
      <c r="O537" s="2"/>
      <c r="P537" s="3"/>
      <c r="Q537" s="2"/>
      <c r="R537" s="3"/>
      <c r="S537" s="3"/>
      <c r="T537" s="2"/>
      <c r="U537" s="8">
        <f t="shared" si="66"/>
        <v>0</v>
      </c>
      <c r="V537" s="8"/>
      <c r="W537" s="8"/>
      <c r="X537" s="8"/>
      <c r="Y537" s="8"/>
      <c r="Z537" s="8"/>
      <c r="AA537" s="8"/>
      <c r="AB537" s="8"/>
      <c r="AC537" s="8">
        <f t="shared" si="67"/>
        <v>0</v>
      </c>
      <c r="AD537" s="8"/>
      <c r="AE537" s="8"/>
      <c r="AF537" s="8"/>
      <c r="AG537" s="8"/>
      <c r="AH537" s="8"/>
      <c r="AI537" s="8"/>
      <c r="AJ537" s="8"/>
      <c r="AK537" s="8"/>
      <c r="AL537" s="8"/>
      <c r="AM537" s="8">
        <v>30576476</v>
      </c>
      <c r="AN537" s="8">
        <f t="shared" ref="AN537:AN542" si="72">SUBTOTAL(9,AC537:AM537)</f>
        <v>30576476</v>
      </c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>
        <v>92554180</v>
      </c>
      <c r="AZ537" s="8"/>
      <c r="BA537" s="8">
        <f>VLOOKUP(B537,[1]Hoja3!J$3:K$674,2,0)</f>
        <v>124291612</v>
      </c>
      <c r="BB537" s="8"/>
      <c r="BC537" s="8">
        <f t="shared" si="68"/>
        <v>247422268</v>
      </c>
      <c r="BD537" s="4">
        <v>92554180</v>
      </c>
      <c r="BE537" s="4">
        <f t="shared" si="69"/>
        <v>154868088</v>
      </c>
      <c r="BF537" s="30">
        <f t="shared" si="70"/>
        <v>247422268</v>
      </c>
      <c r="BG537" s="18">
        <f t="shared" si="71"/>
        <v>0</v>
      </c>
      <c r="BH537" s="23"/>
      <c r="BI537" s="23"/>
      <c r="BJ537" s="23"/>
    </row>
    <row r="538" spans="1:66" ht="15" customHeight="1" x14ac:dyDescent="0.2">
      <c r="A538" s="1">
        <v>8920992428</v>
      </c>
      <c r="B538" s="1">
        <v>892099242</v>
      </c>
      <c r="C538" s="15">
        <v>210050400</v>
      </c>
      <c r="D538" s="16" t="s">
        <v>681</v>
      </c>
      <c r="E538" s="41" t="s">
        <v>1703</v>
      </c>
      <c r="F538" s="28"/>
      <c r="G538" s="2"/>
      <c r="H538" s="3"/>
      <c r="I538" s="2"/>
      <c r="J538" s="29"/>
      <c r="K538" s="3"/>
      <c r="L538" s="2"/>
      <c r="M538" s="8"/>
      <c r="N538" s="3"/>
      <c r="O538" s="2"/>
      <c r="P538" s="3"/>
      <c r="Q538" s="2"/>
      <c r="R538" s="3"/>
      <c r="S538" s="3"/>
      <c r="T538" s="2"/>
      <c r="U538" s="8">
        <f t="shared" si="66"/>
        <v>0</v>
      </c>
      <c r="V538" s="8"/>
      <c r="W538" s="8"/>
      <c r="X538" s="8"/>
      <c r="Y538" s="8"/>
      <c r="Z538" s="8"/>
      <c r="AA538" s="8"/>
      <c r="AB538" s="8"/>
      <c r="AC538" s="8">
        <f t="shared" si="67"/>
        <v>0</v>
      </c>
      <c r="AD538" s="8"/>
      <c r="AE538" s="8"/>
      <c r="AF538" s="8"/>
      <c r="AG538" s="8"/>
      <c r="AH538" s="8"/>
      <c r="AI538" s="8"/>
      <c r="AJ538" s="8"/>
      <c r="AK538" s="8"/>
      <c r="AL538" s="8"/>
      <c r="AM538" s="8">
        <v>90932870</v>
      </c>
      <c r="AN538" s="8">
        <f t="shared" si="72"/>
        <v>90932870</v>
      </c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>
        <v>67095190</v>
      </c>
      <c r="AZ538" s="8"/>
      <c r="BA538" s="8">
        <f>VLOOKUP(B538,[1]Hoja3!J$3:K$674,2,0)</f>
        <v>87776468</v>
      </c>
      <c r="BB538" s="8"/>
      <c r="BC538" s="8">
        <f t="shared" si="68"/>
        <v>245804528</v>
      </c>
      <c r="BD538" s="4">
        <v>67095190</v>
      </c>
      <c r="BE538" s="4">
        <f t="shared" si="69"/>
        <v>178709338</v>
      </c>
      <c r="BF538" s="30">
        <f t="shared" si="70"/>
        <v>245804528</v>
      </c>
      <c r="BG538" s="18">
        <f t="shared" si="71"/>
        <v>0</v>
      </c>
      <c r="BH538" s="23"/>
      <c r="BI538" s="23"/>
      <c r="BJ538" s="23"/>
    </row>
    <row r="539" spans="1:66" ht="15" customHeight="1" x14ac:dyDescent="0.2">
      <c r="A539" s="1">
        <v>8999993305</v>
      </c>
      <c r="B539" s="1">
        <v>899999330</v>
      </c>
      <c r="C539" s="15">
        <v>210725407</v>
      </c>
      <c r="D539" s="16" t="s">
        <v>509</v>
      </c>
      <c r="E539" s="41" t="s">
        <v>1534</v>
      </c>
      <c r="F539" s="28"/>
      <c r="G539" s="2"/>
      <c r="H539" s="3"/>
      <c r="I539" s="2"/>
      <c r="J539" s="29"/>
      <c r="K539" s="3"/>
      <c r="L539" s="2"/>
      <c r="M539" s="8"/>
      <c r="N539" s="3"/>
      <c r="O539" s="2"/>
      <c r="P539" s="3"/>
      <c r="Q539" s="2"/>
      <c r="R539" s="3"/>
      <c r="S539" s="3"/>
      <c r="T539" s="2"/>
      <c r="U539" s="8">
        <f t="shared" si="66"/>
        <v>0</v>
      </c>
      <c r="V539" s="8"/>
      <c r="W539" s="8"/>
      <c r="X539" s="8"/>
      <c r="Y539" s="8"/>
      <c r="Z539" s="8"/>
      <c r="AA539" s="8"/>
      <c r="AB539" s="8"/>
      <c r="AC539" s="8">
        <f t="shared" si="67"/>
        <v>0</v>
      </c>
      <c r="AD539" s="8"/>
      <c r="AE539" s="8"/>
      <c r="AF539" s="8"/>
      <c r="AG539" s="8"/>
      <c r="AH539" s="8"/>
      <c r="AI539" s="8"/>
      <c r="AJ539" s="8"/>
      <c r="AK539" s="8"/>
      <c r="AL539" s="8"/>
      <c r="AM539" s="8">
        <v>161572342</v>
      </c>
      <c r="AN539" s="8">
        <f t="shared" si="72"/>
        <v>161572342</v>
      </c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>
        <f t="shared" si="68"/>
        <v>161572342</v>
      </c>
      <c r="BD539" s="4"/>
      <c r="BE539" s="4">
        <f t="shared" si="69"/>
        <v>161572342</v>
      </c>
      <c r="BF539" s="30">
        <f t="shared" si="70"/>
        <v>161572342</v>
      </c>
      <c r="BG539" s="18">
        <f t="shared" si="71"/>
        <v>0</v>
      </c>
      <c r="BH539" s="23"/>
      <c r="BI539" s="23"/>
      <c r="BJ539" s="23"/>
    </row>
    <row r="540" spans="1:66" ht="15" customHeight="1" x14ac:dyDescent="0.2">
      <c r="A540" s="1">
        <v>8907020342</v>
      </c>
      <c r="B540" s="1">
        <v>890702034</v>
      </c>
      <c r="C540" s="15">
        <v>210873408</v>
      </c>
      <c r="D540" s="16" t="s">
        <v>2225</v>
      </c>
      <c r="E540" s="41" t="s">
        <v>1950</v>
      </c>
      <c r="F540" s="28"/>
      <c r="G540" s="2"/>
      <c r="H540" s="3"/>
      <c r="I540" s="2"/>
      <c r="J540" s="29"/>
      <c r="K540" s="3"/>
      <c r="L540" s="2"/>
      <c r="M540" s="8"/>
      <c r="N540" s="3"/>
      <c r="O540" s="2"/>
      <c r="P540" s="3"/>
      <c r="Q540" s="2"/>
      <c r="R540" s="3"/>
      <c r="S540" s="3"/>
      <c r="T540" s="2"/>
      <c r="U540" s="8">
        <f t="shared" si="66"/>
        <v>0</v>
      </c>
      <c r="V540" s="8"/>
      <c r="W540" s="8"/>
      <c r="X540" s="8"/>
      <c r="Y540" s="8"/>
      <c r="Z540" s="8"/>
      <c r="AA540" s="8"/>
      <c r="AB540" s="8"/>
      <c r="AC540" s="8">
        <f t="shared" si="67"/>
        <v>0</v>
      </c>
      <c r="AD540" s="8"/>
      <c r="AE540" s="8"/>
      <c r="AF540" s="8"/>
      <c r="AG540" s="8"/>
      <c r="AH540" s="8"/>
      <c r="AI540" s="8"/>
      <c r="AJ540" s="8"/>
      <c r="AK540" s="8"/>
      <c r="AL540" s="8"/>
      <c r="AM540" s="8">
        <v>239168401</v>
      </c>
      <c r="AN540" s="8">
        <f t="shared" si="72"/>
        <v>239168401</v>
      </c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>
        <v>121392665</v>
      </c>
      <c r="AZ540" s="8"/>
      <c r="BA540" s="8"/>
      <c r="BB540" s="8"/>
      <c r="BC540" s="8">
        <f t="shared" si="68"/>
        <v>360561066</v>
      </c>
      <c r="BD540" s="4">
        <v>121392665</v>
      </c>
      <c r="BE540" s="4">
        <f t="shared" si="69"/>
        <v>239168401</v>
      </c>
      <c r="BF540" s="30">
        <f t="shared" si="70"/>
        <v>360561066</v>
      </c>
      <c r="BG540" s="18">
        <f t="shared" si="71"/>
        <v>0</v>
      </c>
      <c r="BH540" s="23"/>
      <c r="BI540" s="23"/>
      <c r="BJ540" s="23"/>
    </row>
    <row r="541" spans="1:66" ht="15" customHeight="1" x14ac:dyDescent="0.2">
      <c r="A541" s="1">
        <v>8999993029</v>
      </c>
      <c r="B541" s="1">
        <v>899999302</v>
      </c>
      <c r="C541" s="15">
        <v>210191001</v>
      </c>
      <c r="D541" s="16" t="s">
        <v>988</v>
      </c>
      <c r="E541" s="41" t="s">
        <v>2078</v>
      </c>
      <c r="F541" s="28"/>
      <c r="G541" s="2"/>
      <c r="H541" s="3"/>
      <c r="I541" s="2"/>
      <c r="J541" s="29"/>
      <c r="K541" s="3"/>
      <c r="L541" s="2"/>
      <c r="M541" s="8"/>
      <c r="N541" s="3"/>
      <c r="O541" s="2"/>
      <c r="P541" s="3"/>
      <c r="Q541" s="2"/>
      <c r="R541" s="3"/>
      <c r="S541" s="3"/>
      <c r="T541" s="2"/>
      <c r="U541" s="8">
        <f t="shared" si="66"/>
        <v>0</v>
      </c>
      <c r="V541" s="8"/>
      <c r="W541" s="8"/>
      <c r="X541" s="8"/>
      <c r="Y541" s="8"/>
      <c r="Z541" s="8"/>
      <c r="AA541" s="8"/>
      <c r="AB541" s="8"/>
      <c r="AC541" s="8">
        <f t="shared" si="67"/>
        <v>0</v>
      </c>
      <c r="AD541" s="8"/>
      <c r="AE541" s="8"/>
      <c r="AF541" s="8"/>
      <c r="AG541" s="8"/>
      <c r="AH541" s="8"/>
      <c r="AI541" s="8"/>
      <c r="AJ541" s="8"/>
      <c r="AK541" s="8"/>
      <c r="AL541" s="8"/>
      <c r="AM541" s="8">
        <v>977647135</v>
      </c>
      <c r="AN541" s="8">
        <f t="shared" si="72"/>
        <v>977647135</v>
      </c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>
        <v>380238385</v>
      </c>
      <c r="AZ541" s="8"/>
      <c r="BA541" s="8"/>
      <c r="BB541" s="8">
        <f>VLOOKUP(B541,'[2]anuladas en mayo gratuidad}'!K$2:L$55,2,0)</f>
        <v>110903490</v>
      </c>
      <c r="BC541" s="8">
        <f t="shared" si="68"/>
        <v>1246982030</v>
      </c>
      <c r="BD541" s="4">
        <v>380238385</v>
      </c>
      <c r="BE541" s="4">
        <f t="shared" si="69"/>
        <v>866743645</v>
      </c>
      <c r="BF541" s="30">
        <f t="shared" si="70"/>
        <v>1246982030</v>
      </c>
      <c r="BG541" s="18">
        <f t="shared" si="71"/>
        <v>0</v>
      </c>
      <c r="BH541" s="23"/>
      <c r="BI541" s="23"/>
      <c r="BJ541" s="23"/>
    </row>
    <row r="542" spans="1:66" ht="15" customHeight="1" x14ac:dyDescent="0.2">
      <c r="A542" s="1">
        <v>8001000610</v>
      </c>
      <c r="B542" s="1">
        <v>800100061</v>
      </c>
      <c r="C542" s="15">
        <v>211173411</v>
      </c>
      <c r="D542" s="16" t="s">
        <v>2226</v>
      </c>
      <c r="E542" s="41" t="s">
        <v>1951</v>
      </c>
      <c r="F542" s="28"/>
      <c r="G542" s="2"/>
      <c r="H542" s="3"/>
      <c r="I542" s="2"/>
      <c r="J542" s="29"/>
      <c r="K542" s="3"/>
      <c r="L542" s="2"/>
      <c r="M542" s="8"/>
      <c r="N542" s="3"/>
      <c r="O542" s="2"/>
      <c r="P542" s="3"/>
      <c r="Q542" s="2"/>
      <c r="R542" s="3"/>
      <c r="S542" s="3"/>
      <c r="T542" s="2"/>
      <c r="U542" s="8">
        <f t="shared" si="66"/>
        <v>0</v>
      </c>
      <c r="V542" s="8"/>
      <c r="W542" s="8"/>
      <c r="X542" s="8"/>
      <c r="Y542" s="8"/>
      <c r="Z542" s="8"/>
      <c r="AA542" s="8"/>
      <c r="AB542" s="8"/>
      <c r="AC542" s="8">
        <f t="shared" si="67"/>
        <v>0</v>
      </c>
      <c r="AD542" s="8"/>
      <c r="AE542" s="8"/>
      <c r="AF542" s="8"/>
      <c r="AG542" s="8"/>
      <c r="AH542" s="8"/>
      <c r="AI542" s="8"/>
      <c r="AJ542" s="8"/>
      <c r="AK542" s="8"/>
      <c r="AL542" s="8"/>
      <c r="AM542" s="8">
        <v>577956022</v>
      </c>
      <c r="AN542" s="8">
        <f t="shared" si="72"/>
        <v>577956022</v>
      </c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>
        <v>274079460</v>
      </c>
      <c r="AZ542" s="8"/>
      <c r="BA542" s="8"/>
      <c r="BB542" s="8"/>
      <c r="BC542" s="8">
        <f t="shared" si="68"/>
        <v>852035482</v>
      </c>
      <c r="BD542" s="4">
        <v>274079460</v>
      </c>
      <c r="BE542" s="4">
        <f t="shared" si="69"/>
        <v>577956022</v>
      </c>
      <c r="BF542" s="30">
        <f t="shared" si="70"/>
        <v>852035482</v>
      </c>
      <c r="BG542" s="18">
        <f t="shared" si="71"/>
        <v>0</v>
      </c>
      <c r="BH542" s="23"/>
      <c r="BI542" s="23"/>
      <c r="BJ542" s="23"/>
    </row>
    <row r="543" spans="1:66" ht="15" customHeight="1" x14ac:dyDescent="0.2">
      <c r="A543" s="1">
        <v>8909836726</v>
      </c>
      <c r="B543" s="1">
        <v>890983672</v>
      </c>
      <c r="C543" s="15">
        <v>211105411</v>
      </c>
      <c r="D543" s="16" t="s">
        <v>105</v>
      </c>
      <c r="E543" s="41" t="s">
        <v>1136</v>
      </c>
      <c r="F543" s="28"/>
      <c r="G543" s="2"/>
      <c r="H543" s="3"/>
      <c r="I543" s="2"/>
      <c r="J543" s="29"/>
      <c r="K543" s="3"/>
      <c r="L543" s="2"/>
      <c r="M543" s="8"/>
      <c r="N543" s="3"/>
      <c r="O543" s="2"/>
      <c r="P543" s="3"/>
      <c r="Q543" s="2"/>
      <c r="R543" s="3"/>
      <c r="S543" s="3"/>
      <c r="T543" s="2"/>
      <c r="U543" s="8">
        <f t="shared" si="66"/>
        <v>0</v>
      </c>
      <c r="V543" s="8"/>
      <c r="W543" s="8"/>
      <c r="X543" s="8"/>
      <c r="Y543" s="8"/>
      <c r="Z543" s="8"/>
      <c r="AA543" s="8"/>
      <c r="AB543" s="8"/>
      <c r="AC543" s="8">
        <f t="shared" si="67"/>
        <v>0</v>
      </c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>
        <f>VLOOKUP(B543,[1]Hoja3!J$3:K$674,2,0)</f>
        <v>160909022</v>
      </c>
      <c r="BB543" s="8"/>
      <c r="BC543" s="8">
        <f t="shared" si="68"/>
        <v>160909022</v>
      </c>
      <c r="BD543" s="4"/>
      <c r="BE543" s="4">
        <f t="shared" si="69"/>
        <v>160909022</v>
      </c>
      <c r="BF543" s="30">
        <f t="shared" si="70"/>
        <v>160909022</v>
      </c>
      <c r="BG543" s="18">
        <f t="shared" si="71"/>
        <v>0</v>
      </c>
      <c r="BH543" s="23"/>
      <c r="BI543" s="23"/>
      <c r="BJ543" s="23"/>
    </row>
    <row r="544" spans="1:66" ht="15" customHeight="1" x14ac:dyDescent="0.2">
      <c r="A544" s="1">
        <v>8000991052</v>
      </c>
      <c r="B544" s="1">
        <v>800099105</v>
      </c>
      <c r="C544" s="15">
        <v>211152411</v>
      </c>
      <c r="D544" s="16" t="s">
        <v>723</v>
      </c>
      <c r="E544" s="41" t="s">
        <v>1746</v>
      </c>
      <c r="F544" s="28"/>
      <c r="G544" s="2"/>
      <c r="H544" s="3"/>
      <c r="I544" s="2"/>
      <c r="J544" s="29"/>
      <c r="K544" s="3"/>
      <c r="L544" s="2"/>
      <c r="M544" s="8"/>
      <c r="N544" s="3"/>
      <c r="O544" s="2"/>
      <c r="P544" s="3"/>
      <c r="Q544" s="2"/>
      <c r="R544" s="3"/>
      <c r="S544" s="3"/>
      <c r="T544" s="2"/>
      <c r="U544" s="8">
        <f t="shared" si="66"/>
        <v>0</v>
      </c>
      <c r="V544" s="8"/>
      <c r="W544" s="8"/>
      <c r="X544" s="8"/>
      <c r="Y544" s="8"/>
      <c r="Z544" s="8"/>
      <c r="AA544" s="8"/>
      <c r="AB544" s="8"/>
      <c r="AC544" s="8">
        <f t="shared" si="67"/>
        <v>0</v>
      </c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>
        <v>83783645</v>
      </c>
      <c r="AZ544" s="8"/>
      <c r="BA544" s="8">
        <f>VLOOKUP(B544,[1]Hoja3!J$3:K$674,2,0)</f>
        <v>125289250</v>
      </c>
      <c r="BB544" s="8"/>
      <c r="BC544" s="8">
        <f t="shared" si="68"/>
        <v>209072895</v>
      </c>
      <c r="BD544" s="4">
        <v>83783645</v>
      </c>
      <c r="BE544" s="4">
        <f t="shared" si="69"/>
        <v>125289250</v>
      </c>
      <c r="BF544" s="30">
        <f t="shared" si="70"/>
        <v>209072895</v>
      </c>
      <c r="BG544" s="18">
        <f t="shared" si="71"/>
        <v>0</v>
      </c>
      <c r="BH544" s="23"/>
      <c r="BI544" s="23"/>
      <c r="BJ544" s="23"/>
    </row>
    <row r="545" spans="1:66" ht="15" customHeight="1" x14ac:dyDescent="0.2">
      <c r="A545" s="1">
        <v>8180000022</v>
      </c>
      <c r="B545" s="1">
        <v>818000002</v>
      </c>
      <c r="C545" s="15">
        <v>215027250</v>
      </c>
      <c r="D545" s="16" t="s">
        <v>2119</v>
      </c>
      <c r="E545" s="41" t="s">
        <v>1599</v>
      </c>
      <c r="F545" s="28"/>
      <c r="G545" s="2"/>
      <c r="H545" s="3"/>
      <c r="I545" s="2"/>
      <c r="J545" s="29"/>
      <c r="K545" s="3"/>
      <c r="L545" s="2"/>
      <c r="M545" s="8"/>
      <c r="N545" s="3"/>
      <c r="O545" s="2"/>
      <c r="P545" s="3"/>
      <c r="Q545" s="2"/>
      <c r="R545" s="3"/>
      <c r="S545" s="3"/>
      <c r="T545" s="2"/>
      <c r="U545" s="8">
        <f t="shared" si="66"/>
        <v>0</v>
      </c>
      <c r="V545" s="8"/>
      <c r="W545" s="8"/>
      <c r="X545" s="8"/>
      <c r="Y545" s="8"/>
      <c r="Z545" s="8"/>
      <c r="AA545" s="8"/>
      <c r="AB545" s="8"/>
      <c r="AC545" s="8">
        <f t="shared" si="67"/>
        <v>0</v>
      </c>
      <c r="AD545" s="8"/>
      <c r="AE545" s="8"/>
      <c r="AF545" s="8"/>
      <c r="AG545" s="8"/>
      <c r="AH545" s="8"/>
      <c r="AI545" s="8"/>
      <c r="AJ545" s="8"/>
      <c r="AK545" s="8"/>
      <c r="AL545" s="8"/>
      <c r="AM545" s="8">
        <v>100979915</v>
      </c>
      <c r="AN545" s="8">
        <f>SUBTOTAL(9,AC545:AM545)</f>
        <v>100979915</v>
      </c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>
        <v>202134360</v>
      </c>
      <c r="AZ545" s="8"/>
      <c r="BA545" s="8"/>
      <c r="BB545" s="8"/>
      <c r="BC545" s="8">
        <f t="shared" si="68"/>
        <v>303114275</v>
      </c>
      <c r="BD545" s="4">
        <v>202134360</v>
      </c>
      <c r="BE545" s="4">
        <f t="shared" si="69"/>
        <v>100979915</v>
      </c>
      <c r="BF545" s="30">
        <f t="shared" si="70"/>
        <v>303114275</v>
      </c>
      <c r="BG545" s="18">
        <f t="shared" si="71"/>
        <v>0</v>
      </c>
      <c r="BH545" s="23"/>
      <c r="BI545" s="23"/>
      <c r="BJ545" s="23"/>
    </row>
    <row r="546" spans="1:66" ht="15" customHeight="1" x14ac:dyDescent="0.2">
      <c r="A546" s="1">
        <v>8916802812</v>
      </c>
      <c r="B546" s="1">
        <v>891680281</v>
      </c>
      <c r="C546" s="15">
        <v>211327413</v>
      </c>
      <c r="D546" s="16" t="s">
        <v>581</v>
      </c>
      <c r="E546" s="41" t="s">
        <v>1602</v>
      </c>
      <c r="F546" s="28"/>
      <c r="G546" s="2"/>
      <c r="H546" s="3"/>
      <c r="I546" s="2"/>
      <c r="J546" s="29"/>
      <c r="K546" s="3"/>
      <c r="L546" s="2"/>
      <c r="M546" s="8"/>
      <c r="N546" s="3"/>
      <c r="O546" s="2"/>
      <c r="P546" s="3"/>
      <c r="Q546" s="2"/>
      <c r="R546" s="3"/>
      <c r="S546" s="3"/>
      <c r="T546" s="2"/>
      <c r="U546" s="8">
        <f t="shared" si="66"/>
        <v>0</v>
      </c>
      <c r="V546" s="8"/>
      <c r="W546" s="8"/>
      <c r="X546" s="8"/>
      <c r="Y546" s="8"/>
      <c r="Z546" s="8"/>
      <c r="AA546" s="8"/>
      <c r="AB546" s="8"/>
      <c r="AC546" s="8">
        <f t="shared" si="67"/>
        <v>0</v>
      </c>
      <c r="AD546" s="8"/>
      <c r="AE546" s="8"/>
      <c r="AF546" s="8"/>
      <c r="AG546" s="8"/>
      <c r="AH546" s="8"/>
      <c r="AI546" s="8"/>
      <c r="AJ546" s="8"/>
      <c r="AK546" s="8"/>
      <c r="AL546" s="8"/>
      <c r="AM546" s="8">
        <v>121690083</v>
      </c>
      <c r="AN546" s="8">
        <f>SUBTOTAL(9,AC546:AM546)</f>
        <v>121690083</v>
      </c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>
        <v>168119975</v>
      </c>
      <c r="AZ546" s="8"/>
      <c r="BA546" s="8"/>
      <c r="BB546" s="8"/>
      <c r="BC546" s="8">
        <f t="shared" si="68"/>
        <v>289810058</v>
      </c>
      <c r="BD546" s="4">
        <v>168119975</v>
      </c>
      <c r="BE546" s="4">
        <f t="shared" si="69"/>
        <v>121690083</v>
      </c>
      <c r="BF546" s="30">
        <f t="shared" si="70"/>
        <v>289810058</v>
      </c>
      <c r="BG546" s="18">
        <f t="shared" si="71"/>
        <v>0</v>
      </c>
      <c r="BH546" s="23"/>
      <c r="BI546" s="23"/>
      <c r="BJ546" s="23"/>
    </row>
    <row r="547" spans="1:66" ht="15" customHeight="1" x14ac:dyDescent="0.2">
      <c r="A547" s="1">
        <v>8000511689</v>
      </c>
      <c r="B547" s="1">
        <v>800051168</v>
      </c>
      <c r="C547" s="15">
        <v>211819418</v>
      </c>
      <c r="D547" s="16" t="s">
        <v>390</v>
      </c>
      <c r="E547" s="41" t="s">
        <v>1419</v>
      </c>
      <c r="F547" s="28"/>
      <c r="G547" s="2"/>
      <c r="H547" s="3"/>
      <c r="I547" s="2"/>
      <c r="J547" s="29"/>
      <c r="K547" s="3"/>
      <c r="L547" s="2"/>
      <c r="M547" s="8"/>
      <c r="N547" s="3"/>
      <c r="O547" s="2"/>
      <c r="P547" s="3"/>
      <c r="Q547" s="2"/>
      <c r="R547" s="3"/>
      <c r="S547" s="3"/>
      <c r="T547" s="2"/>
      <c r="U547" s="8">
        <f t="shared" si="66"/>
        <v>0</v>
      </c>
      <c r="V547" s="8"/>
      <c r="W547" s="8"/>
      <c r="X547" s="8"/>
      <c r="Y547" s="8"/>
      <c r="Z547" s="8"/>
      <c r="AA547" s="8"/>
      <c r="AB547" s="8"/>
      <c r="AC547" s="8">
        <f t="shared" si="67"/>
        <v>0</v>
      </c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>
        <v>246438845</v>
      </c>
      <c r="AZ547" s="8"/>
      <c r="BA547" s="8">
        <f>VLOOKUP(B547,[1]Hoja3!J$3:K$674,2,0)</f>
        <v>189066276</v>
      </c>
      <c r="BB547" s="8"/>
      <c r="BC547" s="8">
        <f t="shared" si="68"/>
        <v>435505121</v>
      </c>
      <c r="BD547" s="4">
        <v>246438845</v>
      </c>
      <c r="BE547" s="4">
        <f t="shared" si="69"/>
        <v>189066276</v>
      </c>
      <c r="BF547" s="30">
        <f t="shared" si="70"/>
        <v>435505121</v>
      </c>
      <c r="BG547" s="18">
        <f t="shared" si="71"/>
        <v>0</v>
      </c>
      <c r="BH547" s="23"/>
      <c r="BI547" s="23"/>
      <c r="BJ547" s="23"/>
    </row>
    <row r="548" spans="1:66" ht="15" customHeight="1" x14ac:dyDescent="0.2">
      <c r="A548" s="1">
        <v>8000967588</v>
      </c>
      <c r="B548" s="48">
        <v>800096758</v>
      </c>
      <c r="C548" s="15">
        <v>211723417</v>
      </c>
      <c r="D548" s="16" t="s">
        <v>2172</v>
      </c>
      <c r="E548" s="53" t="s">
        <v>1017</v>
      </c>
      <c r="F548" s="28"/>
      <c r="G548" s="2"/>
      <c r="H548" s="3"/>
      <c r="I548" s="2">
        <f>4571586418+58582647</f>
        <v>4630169065</v>
      </c>
      <c r="J548" s="29">
        <v>317568720</v>
      </c>
      <c r="K548" s="3">
        <v>656686333</v>
      </c>
      <c r="L548" s="2"/>
      <c r="M548" s="37">
        <f>SUM(F548:L548)</f>
        <v>5604424118</v>
      </c>
      <c r="N548" s="3"/>
      <c r="O548" s="2"/>
      <c r="P548" s="3"/>
      <c r="Q548" s="2">
        <f>4696407836+541689000+26628476</f>
        <v>5264725312</v>
      </c>
      <c r="R548" s="3">
        <v>317966005</v>
      </c>
      <c r="S548" s="3">
        <f>339117613+317966005</f>
        <v>657083618</v>
      </c>
      <c r="T548" s="2"/>
      <c r="U548" s="8">
        <f t="shared" si="66"/>
        <v>11844199053</v>
      </c>
      <c r="V548" s="8"/>
      <c r="W548" s="8"/>
      <c r="X548" s="8"/>
      <c r="Y548" s="8">
        <v>6285110322</v>
      </c>
      <c r="Z548" s="8">
        <v>300232308</v>
      </c>
      <c r="AA548" s="8">
        <v>701925927</v>
      </c>
      <c r="AB548" s="8"/>
      <c r="AC548" s="8">
        <f t="shared" si="67"/>
        <v>19131467610</v>
      </c>
      <c r="AD548" s="8"/>
      <c r="AE548" s="8"/>
      <c r="AF548" s="8"/>
      <c r="AG548" s="8"/>
      <c r="AH548" s="8">
        <v>4873488625</v>
      </c>
      <c r="AI548" s="8">
        <v>393863890</v>
      </c>
      <c r="AJ548" s="8">
        <v>321806378</v>
      </c>
      <c r="AK548" s="8">
        <v>811063423</v>
      </c>
      <c r="AL548" s="8"/>
      <c r="AM548" s="8">
        <v>1962372115</v>
      </c>
      <c r="AN548" s="8">
        <f>SUBTOTAL(9,AC548:AM548)</f>
        <v>27494062041</v>
      </c>
      <c r="AO548" s="8"/>
      <c r="AP548" s="8"/>
      <c r="AQ548" s="8">
        <v>1191248480</v>
      </c>
      <c r="AR548" s="8"/>
      <c r="AS548" s="8"/>
      <c r="AT548" s="8">
        <v>4873488625</v>
      </c>
      <c r="AU548" s="8"/>
      <c r="AV548" s="8">
        <v>321806378</v>
      </c>
      <c r="AW548" s="8">
        <v>549307927</v>
      </c>
      <c r="AX548" s="8"/>
      <c r="AY548" s="8"/>
      <c r="AZ548" s="8"/>
      <c r="BA548" s="8"/>
      <c r="BB548" s="8"/>
      <c r="BC548" s="8">
        <f t="shared" si="68"/>
        <v>34429913451</v>
      </c>
      <c r="BD548" s="4">
        <v>32467541336</v>
      </c>
      <c r="BE548" s="4">
        <f t="shared" si="69"/>
        <v>1962372115</v>
      </c>
      <c r="BF548" s="30">
        <f t="shared" si="70"/>
        <v>34429913451</v>
      </c>
      <c r="BG548" s="18">
        <f t="shared" si="71"/>
        <v>0</v>
      </c>
      <c r="BH548" s="23"/>
      <c r="BI548" s="23"/>
      <c r="BJ548" s="23"/>
    </row>
    <row r="549" spans="1:66" ht="15" customHeight="1" x14ac:dyDescent="0.2">
      <c r="A549" s="1">
        <v>8000191122</v>
      </c>
      <c r="B549" s="1">
        <v>800019112</v>
      </c>
      <c r="C549" s="15">
        <v>211852418</v>
      </c>
      <c r="D549" s="16" t="s">
        <v>724</v>
      </c>
      <c r="E549" s="41" t="s">
        <v>1747</v>
      </c>
      <c r="F549" s="28"/>
      <c r="G549" s="2"/>
      <c r="H549" s="3"/>
      <c r="I549" s="2"/>
      <c r="J549" s="29"/>
      <c r="K549" s="3"/>
      <c r="L549" s="2"/>
      <c r="M549" s="8"/>
      <c r="N549" s="3"/>
      <c r="O549" s="2"/>
      <c r="P549" s="3"/>
      <c r="Q549" s="2"/>
      <c r="R549" s="3"/>
      <c r="S549" s="3"/>
      <c r="T549" s="2"/>
      <c r="U549" s="8">
        <f t="shared" si="66"/>
        <v>0</v>
      </c>
      <c r="V549" s="8"/>
      <c r="W549" s="8"/>
      <c r="X549" s="8"/>
      <c r="Y549" s="8"/>
      <c r="Z549" s="8"/>
      <c r="AA549" s="8"/>
      <c r="AB549" s="8"/>
      <c r="AC549" s="8">
        <f t="shared" si="67"/>
        <v>0</v>
      </c>
      <c r="AD549" s="8"/>
      <c r="AE549" s="8"/>
      <c r="AF549" s="8"/>
      <c r="AG549" s="8"/>
      <c r="AH549" s="8"/>
      <c r="AI549" s="8"/>
      <c r="AJ549" s="8"/>
      <c r="AK549" s="8"/>
      <c r="AL549" s="8"/>
      <c r="AM549" s="8">
        <v>13461006</v>
      </c>
      <c r="AN549" s="8">
        <f>SUBTOTAL(9,AC549:AM549)</f>
        <v>13461006</v>
      </c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>
        <v>100749990</v>
      </c>
      <c r="AZ549" s="8"/>
      <c r="BA549" s="8">
        <f>VLOOKUP(B549,[1]Hoja3!J$3:K$674,2,0)</f>
        <v>138661719</v>
      </c>
      <c r="BB549" s="8"/>
      <c r="BC549" s="8">
        <f t="shared" si="68"/>
        <v>252872715</v>
      </c>
      <c r="BD549" s="4">
        <v>100749990</v>
      </c>
      <c r="BE549" s="4">
        <f t="shared" si="69"/>
        <v>152122725</v>
      </c>
      <c r="BF549" s="30">
        <f t="shared" si="70"/>
        <v>252872715</v>
      </c>
      <c r="BG549" s="18">
        <f t="shared" si="71"/>
        <v>0</v>
      </c>
      <c r="BH549" s="23"/>
      <c r="BI549" s="23"/>
      <c r="BJ549" s="23"/>
    </row>
    <row r="550" spans="1:66" ht="15" customHeight="1" x14ac:dyDescent="0.2">
      <c r="A550" s="1">
        <v>8000967610</v>
      </c>
      <c r="B550" s="1">
        <v>800096761</v>
      </c>
      <c r="C550" s="15">
        <v>211923419</v>
      </c>
      <c r="D550" s="16" t="s">
        <v>446</v>
      </c>
      <c r="E550" s="41" t="s">
        <v>1473</v>
      </c>
      <c r="F550" s="28"/>
      <c r="G550" s="2"/>
      <c r="H550" s="3"/>
      <c r="I550" s="2"/>
      <c r="J550" s="29"/>
      <c r="K550" s="3"/>
      <c r="L550" s="2"/>
      <c r="M550" s="8"/>
      <c r="N550" s="3"/>
      <c r="O550" s="2"/>
      <c r="P550" s="3"/>
      <c r="Q550" s="2"/>
      <c r="R550" s="3"/>
      <c r="S550" s="3"/>
      <c r="T550" s="2"/>
      <c r="U550" s="8">
        <f t="shared" si="66"/>
        <v>0</v>
      </c>
      <c r="V550" s="8"/>
      <c r="W550" s="8"/>
      <c r="X550" s="8"/>
      <c r="Y550" s="8"/>
      <c r="Z550" s="8"/>
      <c r="AA550" s="8"/>
      <c r="AB550" s="8"/>
      <c r="AC550" s="8">
        <f t="shared" si="67"/>
        <v>0</v>
      </c>
      <c r="AD550" s="8"/>
      <c r="AE550" s="8"/>
      <c r="AF550" s="8"/>
      <c r="AG550" s="8"/>
      <c r="AH550" s="8"/>
      <c r="AI550" s="8"/>
      <c r="AJ550" s="8"/>
      <c r="AK550" s="8"/>
      <c r="AL550" s="8"/>
      <c r="AM550" s="8">
        <v>177118421</v>
      </c>
      <c r="AN550" s="8">
        <f>SUBTOTAL(9,AC550:AM550)</f>
        <v>177118421</v>
      </c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>
        <v>255666695</v>
      </c>
      <c r="AZ550" s="8"/>
      <c r="BA550" s="8"/>
      <c r="BB550" s="8"/>
      <c r="BC550" s="8">
        <f t="shared" si="68"/>
        <v>432785116</v>
      </c>
      <c r="BD550" s="4">
        <v>255666695</v>
      </c>
      <c r="BE550" s="4">
        <f t="shared" si="69"/>
        <v>177118421</v>
      </c>
      <c r="BF550" s="30">
        <f t="shared" si="70"/>
        <v>432785116</v>
      </c>
      <c r="BG550" s="18">
        <f t="shared" si="71"/>
        <v>0</v>
      </c>
      <c r="BH550" s="23"/>
      <c r="BI550" s="23"/>
      <c r="BJ550" s="23"/>
    </row>
    <row r="551" spans="1:66" ht="15" customHeight="1" x14ac:dyDescent="0.2">
      <c r="A551" s="1">
        <v>8922012876</v>
      </c>
      <c r="B551" s="1">
        <v>892201287</v>
      </c>
      <c r="C551" s="15">
        <v>211870418</v>
      </c>
      <c r="D551" s="16" t="s">
        <v>900</v>
      </c>
      <c r="E551" s="41" t="s">
        <v>1914</v>
      </c>
      <c r="F551" s="28"/>
      <c r="G551" s="2"/>
      <c r="H551" s="3"/>
      <c r="I551" s="2"/>
      <c r="J551" s="29"/>
      <c r="K551" s="3"/>
      <c r="L551" s="2"/>
      <c r="M551" s="8"/>
      <c r="N551" s="3"/>
      <c r="O551" s="2"/>
      <c r="P551" s="3"/>
      <c r="Q551" s="2"/>
      <c r="R551" s="3"/>
      <c r="S551" s="3"/>
      <c r="T551" s="2"/>
      <c r="U551" s="8">
        <f t="shared" si="66"/>
        <v>0</v>
      </c>
      <c r="V551" s="8"/>
      <c r="W551" s="8"/>
      <c r="X551" s="8"/>
      <c r="Y551" s="8"/>
      <c r="Z551" s="8"/>
      <c r="AA551" s="8"/>
      <c r="AB551" s="8"/>
      <c r="AC551" s="8">
        <f t="shared" si="67"/>
        <v>0</v>
      </c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>
        <v>207450380</v>
      </c>
      <c r="AZ551" s="8"/>
      <c r="BA551" s="8">
        <f>VLOOKUP(B551,[1]Hoja3!J$3:K$674,2,0)</f>
        <v>384548303</v>
      </c>
      <c r="BB551" s="8"/>
      <c r="BC551" s="8">
        <f t="shared" si="68"/>
        <v>591998683</v>
      </c>
      <c r="BD551" s="4">
        <v>207450380</v>
      </c>
      <c r="BE551" s="4">
        <f t="shared" si="69"/>
        <v>384548303</v>
      </c>
      <c r="BF551" s="30">
        <f t="shared" si="70"/>
        <v>591998683</v>
      </c>
      <c r="BG551" s="18">
        <f t="shared" si="71"/>
        <v>0</v>
      </c>
      <c r="BH551" s="23"/>
      <c r="BI551" s="23"/>
      <c r="BJ551" s="23"/>
    </row>
    <row r="552" spans="1:66" ht="15" customHeight="1" x14ac:dyDescent="0.2">
      <c r="A552" s="1">
        <v>8000441135</v>
      </c>
      <c r="B552" s="1">
        <v>800044113</v>
      </c>
      <c r="C552" s="15">
        <v>210554405</v>
      </c>
      <c r="D552" s="16" t="s">
        <v>771</v>
      </c>
      <c r="E552" s="41" t="s">
        <v>2070</v>
      </c>
      <c r="F552" s="28"/>
      <c r="G552" s="2"/>
      <c r="H552" s="3"/>
      <c r="I552" s="2"/>
      <c r="J552" s="29"/>
      <c r="K552" s="3"/>
      <c r="L552" s="2"/>
      <c r="M552" s="8"/>
      <c r="N552" s="3"/>
      <c r="O552" s="2"/>
      <c r="P552" s="3"/>
      <c r="Q552" s="2"/>
      <c r="R552" s="3"/>
      <c r="S552" s="3"/>
      <c r="T552" s="2"/>
      <c r="U552" s="8">
        <f t="shared" si="66"/>
        <v>0</v>
      </c>
      <c r="V552" s="8"/>
      <c r="W552" s="8"/>
      <c r="X552" s="8"/>
      <c r="Y552" s="8"/>
      <c r="Z552" s="8"/>
      <c r="AA552" s="8"/>
      <c r="AB552" s="8"/>
      <c r="AC552" s="8">
        <f t="shared" si="67"/>
        <v>0</v>
      </c>
      <c r="AD552" s="8"/>
      <c r="AE552" s="8"/>
      <c r="AF552" s="8"/>
      <c r="AG552" s="8"/>
      <c r="AH552" s="8"/>
      <c r="AI552" s="8"/>
      <c r="AJ552" s="8"/>
      <c r="AK552" s="8"/>
      <c r="AL552" s="8"/>
      <c r="AM552" s="8">
        <v>657049565</v>
      </c>
      <c r="AN552" s="8">
        <f>SUBTOTAL(9,AC552:AM552)</f>
        <v>657049565</v>
      </c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>
        <v>313027230</v>
      </c>
      <c r="AZ552" s="8"/>
      <c r="BA552" s="8">
        <f>VLOOKUP(B552,[1]Hoja3!J$3:K$674,2,0)</f>
        <v>111089020</v>
      </c>
      <c r="BB552" s="8"/>
      <c r="BC552" s="8">
        <f t="shared" si="68"/>
        <v>1081165815</v>
      </c>
      <c r="BD552" s="4">
        <v>313027230</v>
      </c>
      <c r="BE552" s="4">
        <f t="shared" si="69"/>
        <v>768138585</v>
      </c>
      <c r="BF552" s="30">
        <f t="shared" si="70"/>
        <v>1081165815</v>
      </c>
      <c r="BG552" s="18">
        <f t="shared" si="71"/>
        <v>0</v>
      </c>
      <c r="BH552" s="23"/>
      <c r="BI552" s="23"/>
      <c r="BJ552" s="23"/>
    </row>
    <row r="553" spans="1:66" ht="15" customHeight="1" x14ac:dyDescent="0.2">
      <c r="A553" s="1">
        <v>8902045379</v>
      </c>
      <c r="B553" s="1">
        <v>890204537</v>
      </c>
      <c r="C553" s="15">
        <v>211868418</v>
      </c>
      <c r="D553" s="16" t="s">
        <v>854</v>
      </c>
      <c r="E553" s="41" t="s">
        <v>1869</v>
      </c>
      <c r="F553" s="28"/>
      <c r="G553" s="2"/>
      <c r="H553" s="3"/>
      <c r="I553" s="2"/>
      <c r="J553" s="29"/>
      <c r="K553" s="3"/>
      <c r="L553" s="2"/>
      <c r="M553" s="8"/>
      <c r="N553" s="3"/>
      <c r="O553" s="2"/>
      <c r="P553" s="3"/>
      <c r="Q553" s="2"/>
      <c r="R553" s="3"/>
      <c r="S553" s="3"/>
      <c r="T553" s="2"/>
      <c r="U553" s="8">
        <f t="shared" si="66"/>
        <v>0</v>
      </c>
      <c r="V553" s="8"/>
      <c r="W553" s="8"/>
      <c r="X553" s="8"/>
      <c r="Y553" s="8"/>
      <c r="Z553" s="8"/>
      <c r="AA553" s="8"/>
      <c r="AB553" s="8"/>
      <c r="AC553" s="8">
        <f t="shared" si="67"/>
        <v>0</v>
      </c>
      <c r="AD553" s="8"/>
      <c r="AE553" s="8"/>
      <c r="AF553" s="8"/>
      <c r="AG553" s="8"/>
      <c r="AH553" s="8"/>
      <c r="AI553" s="8"/>
      <c r="AJ553" s="8"/>
      <c r="AK553" s="8"/>
      <c r="AL553" s="8"/>
      <c r="AM553" s="8">
        <v>73012588</v>
      </c>
      <c r="AN553" s="8">
        <f>SUBTOTAL(9,AC553:AM553)</f>
        <v>73012588</v>
      </c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>
        <f>VLOOKUP(B553,[1]Hoja3!J$3:K$674,2,0)</f>
        <v>142945770</v>
      </c>
      <c r="BB553" s="8"/>
      <c r="BC553" s="8">
        <f t="shared" si="68"/>
        <v>215958358</v>
      </c>
      <c r="BD553" s="4"/>
      <c r="BE553" s="4">
        <f t="shared" si="69"/>
        <v>215958358</v>
      </c>
      <c r="BF553" s="30">
        <f t="shared" si="70"/>
        <v>215958358</v>
      </c>
      <c r="BG553" s="18">
        <f t="shared" si="71"/>
        <v>0</v>
      </c>
      <c r="BH553" s="23"/>
      <c r="BI553" s="23"/>
      <c r="BJ553" s="23"/>
    </row>
    <row r="554" spans="1:66" ht="15" customHeight="1" x14ac:dyDescent="0.2">
      <c r="A554" s="1">
        <v>8905026114</v>
      </c>
      <c r="B554" s="1">
        <v>890502611</v>
      </c>
      <c r="C554" s="15">
        <v>211854418</v>
      </c>
      <c r="D554" s="16" t="s">
        <v>772</v>
      </c>
      <c r="E554" s="41" t="s">
        <v>1790</v>
      </c>
      <c r="F554" s="28"/>
      <c r="G554" s="2"/>
      <c r="H554" s="3"/>
      <c r="I554" s="2"/>
      <c r="J554" s="29"/>
      <c r="K554" s="3"/>
      <c r="L554" s="2"/>
      <c r="M554" s="8"/>
      <c r="N554" s="3"/>
      <c r="O554" s="2"/>
      <c r="P554" s="3"/>
      <c r="Q554" s="2"/>
      <c r="R554" s="3"/>
      <c r="S554" s="3"/>
      <c r="T554" s="2"/>
      <c r="U554" s="8">
        <f t="shared" si="66"/>
        <v>0</v>
      </c>
      <c r="V554" s="8"/>
      <c r="W554" s="8"/>
      <c r="X554" s="8"/>
      <c r="Y554" s="8"/>
      <c r="Z554" s="8"/>
      <c r="AA554" s="8"/>
      <c r="AB554" s="8"/>
      <c r="AC554" s="8">
        <f t="shared" si="67"/>
        <v>0</v>
      </c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>
        <v>23128590</v>
      </c>
      <c r="AZ554" s="8"/>
      <c r="BA554" s="8">
        <f>VLOOKUP(B554,[1]Hoja3!J$3:K$674,2,0)</f>
        <v>55326276</v>
      </c>
      <c r="BB554" s="8"/>
      <c r="BC554" s="8">
        <f t="shared" si="68"/>
        <v>78454866</v>
      </c>
      <c r="BD554" s="4">
        <v>23128590</v>
      </c>
      <c r="BE554" s="4">
        <f t="shared" si="69"/>
        <v>55326276</v>
      </c>
      <c r="BF554" s="30">
        <f t="shared" si="70"/>
        <v>78454866</v>
      </c>
      <c r="BG554" s="18">
        <f t="shared" si="71"/>
        <v>0</v>
      </c>
      <c r="BH554" s="23"/>
      <c r="BI554" s="23"/>
      <c r="BJ554" s="23"/>
    </row>
    <row r="555" spans="1:66" ht="15" customHeight="1" x14ac:dyDescent="0.2">
      <c r="A555" s="1">
        <v>8901030034</v>
      </c>
      <c r="B555" s="1">
        <v>890103003</v>
      </c>
      <c r="C555" s="15">
        <v>212108421</v>
      </c>
      <c r="D555" s="16" t="s">
        <v>166</v>
      </c>
      <c r="E555" s="41" t="s">
        <v>1194</v>
      </c>
      <c r="F555" s="28"/>
      <c r="G555" s="2"/>
      <c r="H555" s="3"/>
      <c r="I555" s="2"/>
      <c r="J555" s="29"/>
      <c r="K555" s="3"/>
      <c r="L555" s="2"/>
      <c r="M555" s="8"/>
      <c r="N555" s="3"/>
      <c r="O555" s="2"/>
      <c r="P555" s="3"/>
      <c r="Q555" s="2"/>
      <c r="R555" s="3"/>
      <c r="S555" s="3"/>
      <c r="T555" s="2"/>
      <c r="U555" s="8">
        <f t="shared" si="66"/>
        <v>0</v>
      </c>
      <c r="V555" s="8"/>
      <c r="W555" s="8"/>
      <c r="X555" s="8"/>
      <c r="Y555" s="8"/>
      <c r="Z555" s="8"/>
      <c r="AA555" s="8"/>
      <c r="AB555" s="8"/>
      <c r="AC555" s="8">
        <f t="shared" si="67"/>
        <v>0</v>
      </c>
      <c r="AD555" s="8"/>
      <c r="AE555" s="8"/>
      <c r="AF555" s="8"/>
      <c r="AG555" s="8"/>
      <c r="AH555" s="8"/>
      <c r="AI555" s="8"/>
      <c r="AJ555" s="8"/>
      <c r="AK555" s="8"/>
      <c r="AL555" s="8"/>
      <c r="AM555" s="8">
        <v>107827870</v>
      </c>
      <c r="AN555" s="8">
        <f>SUBTOTAL(9,AC555:AM555)</f>
        <v>107827870</v>
      </c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>
        <v>256212935</v>
      </c>
      <c r="AZ555" s="8"/>
      <c r="BA555" s="8">
        <f>VLOOKUP(B555,[1]Hoja3!J$3:K$674,2,0)</f>
        <v>384295832</v>
      </c>
      <c r="BB555" s="8"/>
      <c r="BC555" s="8">
        <f t="shared" si="68"/>
        <v>748336637</v>
      </c>
      <c r="BD555" s="4">
        <v>256212935</v>
      </c>
      <c r="BE555" s="4">
        <f t="shared" si="69"/>
        <v>492123702</v>
      </c>
      <c r="BF555" s="30">
        <f t="shared" si="70"/>
        <v>748336637</v>
      </c>
      <c r="BG555" s="18">
        <f t="shared" si="71"/>
        <v>0</v>
      </c>
      <c r="BH555" s="23"/>
      <c r="BI555" s="23"/>
      <c r="BJ555" s="23"/>
    </row>
    <row r="556" spans="1:66" ht="15" customHeight="1" x14ac:dyDescent="0.2">
      <c r="A556" s="1">
        <v>8918011291</v>
      </c>
      <c r="B556" s="1">
        <v>891801129</v>
      </c>
      <c r="C556" s="15">
        <v>212515425</v>
      </c>
      <c r="D556" s="16" t="s">
        <v>266</v>
      </c>
      <c r="E556" s="41" t="s">
        <v>1300</v>
      </c>
      <c r="F556" s="28"/>
      <c r="G556" s="17"/>
      <c r="H556" s="3"/>
      <c r="I556" s="2"/>
      <c r="J556" s="29"/>
      <c r="K556" s="3"/>
      <c r="L556" s="17"/>
      <c r="M556" s="34"/>
      <c r="N556" s="3"/>
      <c r="O556" s="17"/>
      <c r="P556" s="3"/>
      <c r="Q556" s="2"/>
      <c r="R556" s="3"/>
      <c r="S556" s="3"/>
      <c r="T556" s="17"/>
      <c r="U556" s="8">
        <f t="shared" si="66"/>
        <v>0</v>
      </c>
      <c r="V556" s="8"/>
      <c r="W556" s="8"/>
      <c r="X556" s="8"/>
      <c r="Y556" s="8"/>
      <c r="Z556" s="8"/>
      <c r="AA556" s="8"/>
      <c r="AB556" s="8"/>
      <c r="AC556" s="8">
        <f t="shared" si="67"/>
        <v>0</v>
      </c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>
        <v>30591405</v>
      </c>
      <c r="AZ556" s="8"/>
      <c r="BA556" s="8">
        <f>VLOOKUP(B556,[1]Hoja3!J$3:K$674,2,0)</f>
        <v>56240656</v>
      </c>
      <c r="BB556" s="8"/>
      <c r="BC556" s="8">
        <f t="shared" si="68"/>
        <v>86832061</v>
      </c>
      <c r="BD556" s="4">
        <v>30591405</v>
      </c>
      <c r="BE556" s="4">
        <f t="shared" si="69"/>
        <v>56240656</v>
      </c>
      <c r="BF556" s="30">
        <f t="shared" si="70"/>
        <v>86832061</v>
      </c>
      <c r="BG556" s="18">
        <f t="shared" si="71"/>
        <v>0</v>
      </c>
      <c r="BH556" s="23"/>
      <c r="BI556" s="14"/>
      <c r="BJ556" s="14"/>
      <c r="BK556" s="14"/>
      <c r="BL556" s="14"/>
      <c r="BM556" s="14"/>
      <c r="BN556" s="14"/>
    </row>
    <row r="557" spans="1:66" ht="15" customHeight="1" x14ac:dyDescent="0.2">
      <c r="A557" s="1">
        <v>8902109471</v>
      </c>
      <c r="B557" s="1">
        <v>890210947</v>
      </c>
      <c r="C557" s="15">
        <v>212568425</v>
      </c>
      <c r="D557" s="16" t="s">
        <v>855</v>
      </c>
      <c r="E557" s="41" t="s">
        <v>1870</v>
      </c>
      <c r="F557" s="28"/>
      <c r="G557" s="2"/>
      <c r="H557" s="3"/>
      <c r="I557" s="2"/>
      <c r="J557" s="29"/>
      <c r="K557" s="3"/>
      <c r="L557" s="2"/>
      <c r="M557" s="8"/>
      <c r="N557" s="3"/>
      <c r="O557" s="2"/>
      <c r="P557" s="3"/>
      <c r="Q557" s="2"/>
      <c r="R557" s="3"/>
      <c r="S557" s="3"/>
      <c r="T557" s="2"/>
      <c r="U557" s="8">
        <f t="shared" si="66"/>
        <v>0</v>
      </c>
      <c r="V557" s="8"/>
      <c r="W557" s="8"/>
      <c r="X557" s="8"/>
      <c r="Y557" s="8"/>
      <c r="Z557" s="8"/>
      <c r="AA557" s="8"/>
      <c r="AB557" s="8"/>
      <c r="AC557" s="8">
        <f t="shared" si="67"/>
        <v>0</v>
      </c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>
        <v>21357595</v>
      </c>
      <c r="AZ557" s="8"/>
      <c r="BA557" s="8">
        <f>VLOOKUP(B557,[1]Hoja3!J$3:K$674,2,0)</f>
        <v>34360416</v>
      </c>
      <c r="BB557" s="8"/>
      <c r="BC557" s="8">
        <f t="shared" si="68"/>
        <v>55718011</v>
      </c>
      <c r="BD557" s="4">
        <v>21357595</v>
      </c>
      <c r="BE557" s="4">
        <f t="shared" si="69"/>
        <v>34360416</v>
      </c>
      <c r="BF557" s="30">
        <f t="shared" si="70"/>
        <v>55718011</v>
      </c>
      <c r="BG557" s="18">
        <f t="shared" si="71"/>
        <v>0</v>
      </c>
      <c r="BH557" s="23"/>
      <c r="BI557" s="23"/>
      <c r="BJ557" s="23"/>
    </row>
    <row r="558" spans="1:66" ht="15" customHeight="1" x14ac:dyDescent="0.2">
      <c r="A558" s="1">
        <v>8909809583</v>
      </c>
      <c r="B558" s="1">
        <v>890980958</v>
      </c>
      <c r="C558" s="15">
        <v>212505425</v>
      </c>
      <c r="D558" s="16" t="s">
        <v>106</v>
      </c>
      <c r="E558" s="41" t="s">
        <v>1137</v>
      </c>
      <c r="F558" s="28"/>
      <c r="G558" s="2"/>
      <c r="H558" s="3"/>
      <c r="I558" s="2"/>
      <c r="J558" s="29"/>
      <c r="K558" s="3"/>
      <c r="L558" s="2"/>
      <c r="M558" s="8"/>
      <c r="N558" s="3"/>
      <c r="O558" s="2"/>
      <c r="P558" s="3"/>
      <c r="Q558" s="2"/>
      <c r="R558" s="3"/>
      <c r="S558" s="3"/>
      <c r="T558" s="2"/>
      <c r="U558" s="8">
        <f t="shared" si="66"/>
        <v>0</v>
      </c>
      <c r="V558" s="8"/>
      <c r="W558" s="8"/>
      <c r="X558" s="8"/>
      <c r="Y558" s="8"/>
      <c r="Z558" s="8"/>
      <c r="AA558" s="8"/>
      <c r="AB558" s="8"/>
      <c r="AC558" s="8">
        <f t="shared" si="67"/>
        <v>0</v>
      </c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>
        <v>58460695</v>
      </c>
      <c r="AZ558" s="8"/>
      <c r="BA558" s="8">
        <f>VLOOKUP(B558,[1]Hoja3!J$3:K$674,2,0)</f>
        <v>132891377</v>
      </c>
      <c r="BB558" s="8"/>
      <c r="BC558" s="8">
        <f t="shared" si="68"/>
        <v>191352072</v>
      </c>
      <c r="BD558" s="4">
        <v>58460695</v>
      </c>
      <c r="BE558" s="4">
        <f t="shared" si="69"/>
        <v>132891377</v>
      </c>
      <c r="BF558" s="30">
        <f t="shared" si="70"/>
        <v>191352072</v>
      </c>
      <c r="BG558" s="18">
        <f t="shared" si="71"/>
        <v>0</v>
      </c>
      <c r="BH558" s="23"/>
      <c r="BI558" s="23"/>
      <c r="BJ558" s="23"/>
    </row>
    <row r="559" spans="1:66" ht="15" customHeight="1" x14ac:dyDescent="0.2">
      <c r="A559" s="1">
        <v>8999994011</v>
      </c>
      <c r="B559" s="1">
        <v>899999401</v>
      </c>
      <c r="C559" s="15">
        <v>212625426</v>
      </c>
      <c r="D559" s="16" t="s">
        <v>510</v>
      </c>
      <c r="E559" s="41" t="s">
        <v>1535</v>
      </c>
      <c r="F559" s="28"/>
      <c r="G559" s="2"/>
      <c r="H559" s="3"/>
      <c r="I559" s="2"/>
      <c r="J559" s="29"/>
      <c r="K559" s="3"/>
      <c r="L559" s="2"/>
      <c r="M559" s="8"/>
      <c r="N559" s="3"/>
      <c r="O559" s="2"/>
      <c r="P559" s="3"/>
      <c r="Q559" s="2"/>
      <c r="R559" s="3"/>
      <c r="S559" s="3"/>
      <c r="T559" s="2"/>
      <c r="U559" s="8">
        <f t="shared" si="66"/>
        <v>0</v>
      </c>
      <c r="V559" s="8"/>
      <c r="W559" s="8"/>
      <c r="X559" s="8"/>
      <c r="Y559" s="8"/>
      <c r="Z559" s="8"/>
      <c r="AA559" s="8"/>
      <c r="AB559" s="8"/>
      <c r="AC559" s="8">
        <f t="shared" si="67"/>
        <v>0</v>
      </c>
      <c r="AD559" s="8"/>
      <c r="AE559" s="8"/>
      <c r="AF559" s="8"/>
      <c r="AG559" s="8"/>
      <c r="AH559" s="8"/>
      <c r="AI559" s="8"/>
      <c r="AJ559" s="8"/>
      <c r="AK559" s="8"/>
      <c r="AL559" s="8"/>
      <c r="AM559" s="8">
        <v>86624163</v>
      </c>
      <c r="AN559" s="8">
        <f>SUBTOTAL(9,AC559:AM559)</f>
        <v>86624163</v>
      </c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>
        <v>46278190</v>
      </c>
      <c r="AZ559" s="8"/>
      <c r="BA559" s="8"/>
      <c r="BB559" s="8"/>
      <c r="BC559" s="8">
        <f t="shared" si="68"/>
        <v>132902353</v>
      </c>
      <c r="BD559" s="4">
        <v>46278190</v>
      </c>
      <c r="BE559" s="4">
        <f t="shared" si="69"/>
        <v>86624163</v>
      </c>
      <c r="BF559" s="30">
        <f t="shared" si="70"/>
        <v>132902353</v>
      </c>
      <c r="BG559" s="18">
        <f t="shared" si="71"/>
        <v>0</v>
      </c>
      <c r="BH559" s="23"/>
      <c r="BI559" s="23"/>
      <c r="BJ559" s="23"/>
    </row>
    <row r="560" spans="1:66" ht="15" customHeight="1" x14ac:dyDescent="0.2">
      <c r="A560" s="1">
        <v>8999993258</v>
      </c>
      <c r="B560" s="1">
        <v>899999325</v>
      </c>
      <c r="C560" s="15">
        <v>213025430</v>
      </c>
      <c r="D560" s="16" t="s">
        <v>511</v>
      </c>
      <c r="E560" s="41" t="s">
        <v>1536</v>
      </c>
      <c r="F560" s="28"/>
      <c r="G560" s="2"/>
      <c r="H560" s="3"/>
      <c r="I560" s="2"/>
      <c r="J560" s="29"/>
      <c r="K560" s="3"/>
      <c r="L560" s="2"/>
      <c r="M560" s="8"/>
      <c r="N560" s="3"/>
      <c r="O560" s="2"/>
      <c r="P560" s="3"/>
      <c r="Q560" s="2"/>
      <c r="R560" s="3"/>
      <c r="S560" s="3"/>
      <c r="T560" s="2"/>
      <c r="U560" s="8">
        <f t="shared" si="66"/>
        <v>0</v>
      </c>
      <c r="V560" s="8"/>
      <c r="W560" s="8"/>
      <c r="X560" s="8"/>
      <c r="Y560" s="8"/>
      <c r="Z560" s="8"/>
      <c r="AA560" s="8"/>
      <c r="AB560" s="8"/>
      <c r="AC560" s="8">
        <f t="shared" si="67"/>
        <v>0</v>
      </c>
      <c r="AD560" s="8"/>
      <c r="AE560" s="8"/>
      <c r="AF560" s="8"/>
      <c r="AG560" s="8"/>
      <c r="AH560" s="8"/>
      <c r="AI560" s="8"/>
      <c r="AJ560" s="8"/>
      <c r="AK560" s="8"/>
      <c r="AL560" s="8"/>
      <c r="AM560" s="8">
        <v>727083005</v>
      </c>
      <c r="AN560" s="8">
        <f>SUBTOTAL(9,AC560:AM560)</f>
        <v>727083005</v>
      </c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>
        <f t="shared" si="68"/>
        <v>727083005</v>
      </c>
      <c r="BD560" s="4"/>
      <c r="BE560" s="4">
        <f t="shared" si="69"/>
        <v>727083005</v>
      </c>
      <c r="BF560" s="30">
        <f t="shared" si="70"/>
        <v>727083005</v>
      </c>
      <c r="BG560" s="18">
        <f t="shared" si="71"/>
        <v>0</v>
      </c>
      <c r="BH560" s="23"/>
      <c r="BI560" s="23"/>
      <c r="BJ560" s="23"/>
    </row>
    <row r="561" spans="1:66" ht="15" customHeight="1" x14ac:dyDescent="0.2">
      <c r="A561" s="1">
        <v>8000284322</v>
      </c>
      <c r="B561" s="1">
        <v>800028432</v>
      </c>
      <c r="C561" s="15">
        <v>213013430</v>
      </c>
      <c r="D561" s="16" t="s">
        <v>2173</v>
      </c>
      <c r="E561" s="53" t="s">
        <v>1010</v>
      </c>
      <c r="F561" s="28"/>
      <c r="G561" s="2"/>
      <c r="H561" s="3"/>
      <c r="I561" s="2">
        <f>3977763792+74422874</f>
        <v>4052186666</v>
      </c>
      <c r="J561" s="29">
        <v>298707968</v>
      </c>
      <c r="K561" s="3">
        <v>604896847</v>
      </c>
      <c r="L561" s="2"/>
      <c r="M561" s="37">
        <f>SUM(F561:L561)</f>
        <v>4955791481</v>
      </c>
      <c r="N561" s="3"/>
      <c r="O561" s="2"/>
      <c r="P561" s="3"/>
      <c r="Q561" s="2">
        <f>3924978757+85000000+33828579</f>
        <v>4043807336</v>
      </c>
      <c r="R561" s="3">
        <v>299002538</v>
      </c>
      <c r="S561" s="3">
        <f>306188879+299002538</f>
        <v>605191417</v>
      </c>
      <c r="T561" s="2"/>
      <c r="U561" s="8">
        <f t="shared" si="66"/>
        <v>9903792772</v>
      </c>
      <c r="V561" s="8"/>
      <c r="W561" s="8"/>
      <c r="X561" s="8"/>
      <c r="Y561" s="8">
        <v>6024188508</v>
      </c>
      <c r="Z561" s="8">
        <v>357979822</v>
      </c>
      <c r="AA561" s="8">
        <v>678638333</v>
      </c>
      <c r="AB561" s="8"/>
      <c r="AC561" s="8">
        <f t="shared" si="67"/>
        <v>16964599435</v>
      </c>
      <c r="AD561" s="8"/>
      <c r="AE561" s="8"/>
      <c r="AF561" s="8"/>
      <c r="AG561" s="8"/>
      <c r="AH561" s="8">
        <v>4185681064</v>
      </c>
      <c r="AI561" s="8">
        <v>466416359</v>
      </c>
      <c r="AJ561" s="8">
        <v>301438444</v>
      </c>
      <c r="AK561" s="8">
        <v>761056664</v>
      </c>
      <c r="AL561" s="8"/>
      <c r="AM561" s="8">
        <v>1973699512</v>
      </c>
      <c r="AN561" s="8">
        <f>SUBTOTAL(9,AC561:AM561)</f>
        <v>24652891478</v>
      </c>
      <c r="AO561" s="8"/>
      <c r="AP561" s="8"/>
      <c r="AQ561" s="8">
        <v>1138612905</v>
      </c>
      <c r="AR561" s="8"/>
      <c r="AS561" s="8"/>
      <c r="AT561" s="8">
        <v>4185681064</v>
      </c>
      <c r="AU561" s="8">
        <v>280000000</v>
      </c>
      <c r="AV561" s="8">
        <v>301438444</v>
      </c>
      <c r="AW561" s="8">
        <v>515715238</v>
      </c>
      <c r="AX561" s="8"/>
      <c r="AY561" s="8"/>
      <c r="AZ561" s="8">
        <v>375956829</v>
      </c>
      <c r="BA561" s="8">
        <f>VLOOKUP(B561,[1]Hoja3!J$3:K$674,2,0)</f>
        <v>292791519</v>
      </c>
      <c r="BB561" s="8">
        <f>VLOOKUP(B561,'[2]anuladas en mayo gratuidad}'!K$2:L$55,2,0)</f>
        <v>243386506</v>
      </c>
      <c r="BC561" s="8">
        <f t="shared" si="68"/>
        <v>31499700971</v>
      </c>
      <c r="BD561" s="4">
        <v>29476596446</v>
      </c>
      <c r="BE561" s="4">
        <f t="shared" si="69"/>
        <v>2023104525</v>
      </c>
      <c r="BF561" s="30">
        <f t="shared" si="70"/>
        <v>31499700971</v>
      </c>
      <c r="BG561" s="18">
        <f t="shared" si="71"/>
        <v>0</v>
      </c>
      <c r="BH561" s="23"/>
      <c r="BI561" s="23"/>
      <c r="BJ561" s="23"/>
    </row>
    <row r="562" spans="1:66" ht="15" customHeight="1" x14ac:dyDescent="0.2">
      <c r="A562" s="1">
        <v>8000991061</v>
      </c>
      <c r="B562" s="1">
        <v>800099106</v>
      </c>
      <c r="C562" s="15">
        <v>212752427</v>
      </c>
      <c r="D562" s="16" t="s">
        <v>725</v>
      </c>
      <c r="E562" s="41" t="s">
        <v>1748</v>
      </c>
      <c r="F562" s="28"/>
      <c r="G562" s="2"/>
      <c r="H562" s="3"/>
      <c r="I562" s="2"/>
      <c r="J562" s="29"/>
      <c r="K562" s="3"/>
      <c r="L562" s="2"/>
      <c r="M562" s="8"/>
      <c r="N562" s="3"/>
      <c r="O562" s="2"/>
      <c r="P562" s="3"/>
      <c r="Q562" s="2"/>
      <c r="R562" s="3"/>
      <c r="S562" s="3"/>
      <c r="T562" s="2"/>
      <c r="U562" s="8">
        <f t="shared" si="66"/>
        <v>0</v>
      </c>
      <c r="V562" s="8"/>
      <c r="W562" s="8"/>
      <c r="X562" s="8"/>
      <c r="Y562" s="8"/>
      <c r="Z562" s="8"/>
      <c r="AA562" s="8"/>
      <c r="AB562" s="8"/>
      <c r="AC562" s="8">
        <f t="shared" si="67"/>
        <v>0</v>
      </c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>
        <v>202671495</v>
      </c>
      <c r="AZ562" s="8"/>
      <c r="BA562" s="8">
        <f>VLOOKUP(B562,[1]Hoja3!J$3:K$674,2,0)</f>
        <v>197263000</v>
      </c>
      <c r="BB562" s="8"/>
      <c r="BC562" s="8">
        <f t="shared" si="68"/>
        <v>399934495</v>
      </c>
      <c r="BD562" s="4">
        <v>202671495</v>
      </c>
      <c r="BE562" s="4">
        <f t="shared" si="69"/>
        <v>197263000</v>
      </c>
      <c r="BF562" s="30">
        <f t="shared" si="70"/>
        <v>399934495</v>
      </c>
      <c r="BG562" s="18">
        <f t="shared" si="71"/>
        <v>0</v>
      </c>
      <c r="BH562" s="23"/>
      <c r="BI562" s="23"/>
      <c r="BJ562" s="23"/>
    </row>
    <row r="563" spans="1:66" ht="15" customHeight="1" x14ac:dyDescent="0.2">
      <c r="A563" s="1">
        <v>8000955143</v>
      </c>
      <c r="B563" s="1">
        <v>800095514</v>
      </c>
      <c r="C563" s="15">
        <v>213313433</v>
      </c>
      <c r="D563" s="16" t="s">
        <v>194</v>
      </c>
      <c r="E563" s="41" t="s">
        <v>1225</v>
      </c>
      <c r="F563" s="28"/>
      <c r="G563" s="17"/>
      <c r="H563" s="3"/>
      <c r="I563" s="2"/>
      <c r="J563" s="29"/>
      <c r="K563" s="3"/>
      <c r="L563" s="17"/>
      <c r="M563" s="34"/>
      <c r="N563" s="3"/>
      <c r="O563" s="17"/>
      <c r="P563" s="3"/>
      <c r="Q563" s="2"/>
      <c r="R563" s="3"/>
      <c r="S563" s="3"/>
      <c r="T563" s="17"/>
      <c r="U563" s="8">
        <f t="shared" si="66"/>
        <v>0</v>
      </c>
      <c r="V563" s="8"/>
      <c r="W563" s="8"/>
      <c r="X563" s="8"/>
      <c r="Y563" s="8"/>
      <c r="Z563" s="8"/>
      <c r="AA563" s="8"/>
      <c r="AB563" s="8"/>
      <c r="AC563" s="8">
        <f t="shared" si="67"/>
        <v>0</v>
      </c>
      <c r="AD563" s="8"/>
      <c r="AE563" s="8"/>
      <c r="AF563" s="8"/>
      <c r="AG563" s="8"/>
      <c r="AH563" s="8"/>
      <c r="AI563" s="8"/>
      <c r="AJ563" s="8"/>
      <c r="AK563" s="8"/>
      <c r="AL563" s="8"/>
      <c r="AM563" s="8">
        <v>216511617</v>
      </c>
      <c r="AN563" s="8">
        <f>SUBTOTAL(9,AC563:AM563)</f>
        <v>216511617</v>
      </c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>
        <v>247606205</v>
      </c>
      <c r="AZ563" s="8"/>
      <c r="BA563" s="8">
        <f>VLOOKUP(B563,[1]Hoja3!J$3:K$674,2,0)</f>
        <v>285140227</v>
      </c>
      <c r="BB563" s="8"/>
      <c r="BC563" s="8">
        <f t="shared" si="68"/>
        <v>749258049</v>
      </c>
      <c r="BD563" s="4">
        <v>247606205</v>
      </c>
      <c r="BE563" s="4">
        <f t="shared" si="69"/>
        <v>501651844</v>
      </c>
      <c r="BF563" s="30">
        <f t="shared" si="70"/>
        <v>749258049</v>
      </c>
      <c r="BG563" s="18">
        <f t="shared" si="71"/>
        <v>0</v>
      </c>
      <c r="BH563" s="23"/>
      <c r="BI563" s="14"/>
      <c r="BJ563" s="14"/>
      <c r="BK563" s="14"/>
      <c r="BL563" s="14"/>
      <c r="BM563" s="14"/>
      <c r="BN563" s="14"/>
    </row>
    <row r="564" spans="1:66" ht="15" customHeight="1" x14ac:dyDescent="0.2">
      <c r="A564" s="1">
        <v>8921200209</v>
      </c>
      <c r="B564" s="1">
        <v>892120020</v>
      </c>
      <c r="C564" s="15">
        <v>213044430</v>
      </c>
      <c r="D564" s="16" t="s">
        <v>2174</v>
      </c>
      <c r="E564" s="53" t="s">
        <v>2080</v>
      </c>
      <c r="F564" s="28"/>
      <c r="G564" s="2"/>
      <c r="H564" s="3"/>
      <c r="I564" s="39">
        <f>4518334807+78051480</f>
        <v>4596386287</v>
      </c>
      <c r="J564" s="29">
        <v>349527651</v>
      </c>
      <c r="K564" s="3">
        <v>699651122</v>
      </c>
      <c r="L564" s="2"/>
      <c r="M564" s="37">
        <f>SUM(F564:L564)</f>
        <v>5645565060</v>
      </c>
      <c r="N564" s="3"/>
      <c r="O564" s="2"/>
      <c r="P564" s="3"/>
      <c r="Q564" s="2">
        <f>4495545519+116592370</f>
        <v>4612137889</v>
      </c>
      <c r="R564" s="3">
        <v>349527651</v>
      </c>
      <c r="S564" s="3">
        <f>350123471+349527651</f>
        <v>699651122</v>
      </c>
      <c r="T564" s="2"/>
      <c r="U564" s="8">
        <f t="shared" si="66"/>
        <v>11306881722</v>
      </c>
      <c r="V564" s="8"/>
      <c r="W564" s="8"/>
      <c r="X564" s="8"/>
      <c r="Y564" s="8">
        <v>8638960785</v>
      </c>
      <c r="Z564" s="8">
        <v>285718569</v>
      </c>
      <c r="AA564" s="8">
        <v>672358433</v>
      </c>
      <c r="AB564" s="8"/>
      <c r="AC564" s="8">
        <f t="shared" si="67"/>
        <v>20903919509</v>
      </c>
      <c r="AD564" s="8"/>
      <c r="AE564" s="8"/>
      <c r="AF564" s="8"/>
      <c r="AG564" s="8"/>
      <c r="AH564" s="8">
        <v>4609065076</v>
      </c>
      <c r="AI564" s="8">
        <v>3179997224</v>
      </c>
      <c r="AJ564" s="8">
        <v>334286516</v>
      </c>
      <c r="AK564" s="8">
        <v>847501086</v>
      </c>
      <c r="AL564" s="8"/>
      <c r="AM564" s="8">
        <v>261527125</v>
      </c>
      <c r="AN564" s="8">
        <f>SUBTOTAL(9,AC564:AM564)</f>
        <v>30136296536</v>
      </c>
      <c r="AO564" s="8"/>
      <c r="AP564" s="8"/>
      <c r="AQ564" s="8">
        <v>1964242775</v>
      </c>
      <c r="AR564" s="8"/>
      <c r="AS564" s="8"/>
      <c r="AT564" s="8">
        <v>4959065076</v>
      </c>
      <c r="AU564" s="8">
        <v>1222559983</v>
      </c>
      <c r="AV564" s="8">
        <v>334286516</v>
      </c>
      <c r="AW564" s="8">
        <v>575326998</v>
      </c>
      <c r="AX564" s="8"/>
      <c r="AY564" s="8"/>
      <c r="AZ564" s="8">
        <v>539718656</v>
      </c>
      <c r="BA564" s="8">
        <f>VLOOKUP(B564,[1]Hoja3!J$3:K$674,2,0)</f>
        <v>3045881574</v>
      </c>
      <c r="BB564" s="8"/>
      <c r="BC564" s="8">
        <f t="shared" si="68"/>
        <v>42777378114</v>
      </c>
      <c r="BD564" s="4">
        <v>39469969415</v>
      </c>
      <c r="BE564" s="4">
        <f t="shared" si="69"/>
        <v>3307408699</v>
      </c>
      <c r="BF564" s="30">
        <f t="shared" si="70"/>
        <v>42777378114</v>
      </c>
      <c r="BG564" s="18">
        <f t="shared" si="71"/>
        <v>0</v>
      </c>
      <c r="BH564" s="23"/>
      <c r="BI564" s="23"/>
      <c r="BJ564" s="23"/>
    </row>
    <row r="565" spans="1:66" ht="15" customHeight="1" x14ac:dyDescent="0.2">
      <c r="A565" s="1">
        <v>8922800576</v>
      </c>
      <c r="B565" s="1">
        <v>892280057</v>
      </c>
      <c r="C565" s="15">
        <v>212970429</v>
      </c>
      <c r="D565" s="16" t="s">
        <v>901</v>
      </c>
      <c r="E565" s="41" t="s">
        <v>1915</v>
      </c>
      <c r="F565" s="28"/>
      <c r="G565" s="2"/>
      <c r="H565" s="3"/>
      <c r="I565" s="2"/>
      <c r="J565" s="29"/>
      <c r="K565" s="3"/>
      <c r="L565" s="2"/>
      <c r="M565" s="8"/>
      <c r="N565" s="3"/>
      <c r="O565" s="2"/>
      <c r="P565" s="3"/>
      <c r="Q565" s="2"/>
      <c r="R565" s="3"/>
      <c r="S565" s="3"/>
      <c r="T565" s="2"/>
      <c r="U565" s="8">
        <f t="shared" si="66"/>
        <v>0</v>
      </c>
      <c r="V565" s="8"/>
      <c r="W565" s="8"/>
      <c r="X565" s="8"/>
      <c r="Y565" s="8"/>
      <c r="Z565" s="8"/>
      <c r="AA565" s="8"/>
      <c r="AB565" s="8"/>
      <c r="AC565" s="8">
        <f t="shared" si="67"/>
        <v>0</v>
      </c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>
        <f>VLOOKUP(B565,[1]Hoja3!J$3:K$674,2,0)</f>
        <v>789972744</v>
      </c>
      <c r="BB565" s="8"/>
      <c r="BC565" s="8">
        <f t="shared" si="68"/>
        <v>789972744</v>
      </c>
      <c r="BD565" s="4"/>
      <c r="BE565" s="4">
        <f t="shared" si="69"/>
        <v>789972744</v>
      </c>
      <c r="BF565" s="30">
        <f t="shared" si="70"/>
        <v>789972744</v>
      </c>
      <c r="BG565" s="18">
        <f t="shared" si="71"/>
        <v>0</v>
      </c>
      <c r="BH565" s="23"/>
      <c r="BI565" s="23"/>
      <c r="BJ565" s="23"/>
    </row>
    <row r="566" spans="1:66" ht="15" customHeight="1" x14ac:dyDescent="0.2">
      <c r="A566" s="1">
        <v>8902052291</v>
      </c>
      <c r="B566" s="1">
        <v>890205229</v>
      </c>
      <c r="C566" s="15">
        <v>213268432</v>
      </c>
      <c r="D566" s="16" t="s">
        <v>856</v>
      </c>
      <c r="E566" s="41" t="s">
        <v>1871</v>
      </c>
      <c r="F566" s="28"/>
      <c r="G566" s="2"/>
      <c r="H566" s="3"/>
      <c r="I566" s="2"/>
      <c r="J566" s="29"/>
      <c r="K566" s="3"/>
      <c r="L566" s="2"/>
      <c r="M566" s="8"/>
      <c r="N566" s="3"/>
      <c r="O566" s="2"/>
      <c r="P566" s="3"/>
      <c r="Q566" s="2"/>
      <c r="R566" s="3"/>
      <c r="S566" s="3"/>
      <c r="T566" s="2"/>
      <c r="U566" s="8">
        <f t="shared" si="66"/>
        <v>0</v>
      </c>
      <c r="V566" s="8"/>
      <c r="W566" s="8"/>
      <c r="X566" s="8"/>
      <c r="Y566" s="8"/>
      <c r="Z566" s="8"/>
      <c r="AA566" s="8"/>
      <c r="AB566" s="8"/>
      <c r="AC566" s="8">
        <f t="shared" si="67"/>
        <v>0</v>
      </c>
      <c r="AD566" s="8"/>
      <c r="AE566" s="8"/>
      <c r="AF566" s="8"/>
      <c r="AG566" s="8"/>
      <c r="AH566" s="8"/>
      <c r="AI566" s="8"/>
      <c r="AJ566" s="8"/>
      <c r="AK566" s="8"/>
      <c r="AL566" s="8"/>
      <c r="AM566" s="8">
        <v>348479926</v>
      </c>
      <c r="AN566" s="8">
        <f>SUBTOTAL(9,AC566:AM566)</f>
        <v>348479926</v>
      </c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>
        <v>148558975</v>
      </c>
      <c r="AZ566" s="8"/>
      <c r="BA566" s="8"/>
      <c r="BB566" s="8"/>
      <c r="BC566" s="8">
        <f t="shared" si="68"/>
        <v>497038901</v>
      </c>
      <c r="BD566" s="4">
        <v>148558975</v>
      </c>
      <c r="BE566" s="4">
        <f t="shared" si="69"/>
        <v>348479926</v>
      </c>
      <c r="BF566" s="30">
        <f t="shared" si="70"/>
        <v>497038901</v>
      </c>
      <c r="BG566" s="18">
        <f t="shared" si="71"/>
        <v>0</v>
      </c>
      <c r="BH566" s="23"/>
      <c r="BI566" s="23"/>
      <c r="BJ566" s="23"/>
    </row>
    <row r="567" spans="1:66" ht="15" customHeight="1" x14ac:dyDescent="0.2">
      <c r="A567" s="1">
        <v>8901143351</v>
      </c>
      <c r="B567" s="1">
        <v>890114335</v>
      </c>
      <c r="C567" s="15">
        <v>213308433</v>
      </c>
      <c r="D567" s="16" t="s">
        <v>167</v>
      </c>
      <c r="E567" s="53" t="s">
        <v>1195</v>
      </c>
      <c r="F567" s="28"/>
      <c r="G567" s="2"/>
      <c r="H567" s="3"/>
      <c r="I567" s="2">
        <v>1997191500</v>
      </c>
      <c r="J567" s="29">
        <v>137424659</v>
      </c>
      <c r="K567" s="3">
        <v>273453360</v>
      </c>
      <c r="L567" s="2"/>
      <c r="M567" s="37">
        <f>SUM(F567:L567)</f>
        <v>2408069519</v>
      </c>
      <c r="N567" s="3"/>
      <c r="O567" s="2"/>
      <c r="P567" s="3"/>
      <c r="Q567" s="2">
        <f>1825234134+173000000+1486902902</f>
        <v>3485137036</v>
      </c>
      <c r="R567" s="3">
        <v>137769813</v>
      </c>
      <c r="S567" s="3">
        <f>136028701+137769813</f>
        <v>273798514</v>
      </c>
      <c r="T567" s="2"/>
      <c r="U567" s="8">
        <f t="shared" si="66"/>
        <v>6304774882</v>
      </c>
      <c r="V567" s="8"/>
      <c r="W567" s="8"/>
      <c r="X567" s="8"/>
      <c r="Y567" s="8">
        <v>4757019418</v>
      </c>
      <c r="Z567" s="8">
        <v>160111081</v>
      </c>
      <c r="AA567" s="8">
        <v>316168453</v>
      </c>
      <c r="AB567" s="8"/>
      <c r="AC567" s="8">
        <f t="shared" si="67"/>
        <v>11538073834</v>
      </c>
      <c r="AD567" s="8"/>
      <c r="AE567" s="8"/>
      <c r="AF567" s="8"/>
      <c r="AG567" s="8"/>
      <c r="AH567" s="8">
        <v>1966997994</v>
      </c>
      <c r="AI567" s="8">
        <v>428785384</v>
      </c>
      <c r="AJ567" s="8">
        <v>136574172</v>
      </c>
      <c r="AK567" s="8">
        <v>353788347</v>
      </c>
      <c r="AL567" s="8"/>
      <c r="AM567" s="8">
        <v>1052264357</v>
      </c>
      <c r="AN567" s="8">
        <f>SUBTOTAL(9,AC567:AM567)</f>
        <v>15476484088</v>
      </c>
      <c r="AO567" s="8"/>
      <c r="AP567" s="8"/>
      <c r="AQ567" s="8">
        <v>492308305</v>
      </c>
      <c r="AR567" s="8"/>
      <c r="AS567" s="8"/>
      <c r="AT567" s="8">
        <v>1966997994</v>
      </c>
      <c r="AU567" s="8">
        <v>167707361</v>
      </c>
      <c r="AV567" s="8">
        <v>136574172</v>
      </c>
      <c r="AW567" s="8">
        <v>239722817</v>
      </c>
      <c r="AX567" s="8"/>
      <c r="AY567" s="8"/>
      <c r="AZ567" s="8">
        <v>152036280</v>
      </c>
      <c r="BA567" s="8"/>
      <c r="BB567" s="8"/>
      <c r="BC567" s="8">
        <f t="shared" si="68"/>
        <v>18631831017</v>
      </c>
      <c r="BD567" s="4">
        <v>17579566660</v>
      </c>
      <c r="BE567" s="4">
        <f t="shared" si="69"/>
        <v>1052264357</v>
      </c>
      <c r="BF567" s="30">
        <f t="shared" si="70"/>
        <v>18631831017</v>
      </c>
      <c r="BG567" s="18">
        <f t="shared" si="71"/>
        <v>0</v>
      </c>
      <c r="BH567" s="23"/>
      <c r="BI567" s="23"/>
      <c r="BJ567" s="23"/>
    </row>
    <row r="568" spans="1:66" ht="15" customHeight="1" x14ac:dyDescent="0.2">
      <c r="A568" s="1">
        <v>8000991084</v>
      </c>
      <c r="B568" s="1">
        <v>800099108</v>
      </c>
      <c r="C568" s="15">
        <v>213552435</v>
      </c>
      <c r="D568" s="16" t="s">
        <v>726</v>
      </c>
      <c r="E568" s="41" t="s">
        <v>1749</v>
      </c>
      <c r="F568" s="28"/>
      <c r="G568" s="2"/>
      <c r="H568" s="3"/>
      <c r="I568" s="2"/>
      <c r="J568" s="29"/>
      <c r="K568" s="3"/>
      <c r="L568" s="2"/>
      <c r="M568" s="8"/>
      <c r="N568" s="3"/>
      <c r="O568" s="2"/>
      <c r="P568" s="3"/>
      <c r="Q568" s="2"/>
      <c r="R568" s="3"/>
      <c r="S568" s="3"/>
      <c r="T568" s="2"/>
      <c r="U568" s="8">
        <f t="shared" si="66"/>
        <v>0</v>
      </c>
      <c r="V568" s="8"/>
      <c r="W568" s="8"/>
      <c r="X568" s="8"/>
      <c r="Y568" s="8"/>
      <c r="Z568" s="8"/>
      <c r="AA568" s="8"/>
      <c r="AB568" s="8"/>
      <c r="AC568" s="8">
        <f t="shared" si="67"/>
        <v>0</v>
      </c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>
        <f>VLOOKUP(B568,[1]Hoja3!J$3:K$674,2,0)</f>
        <v>127259237</v>
      </c>
      <c r="BB568" s="8"/>
      <c r="BC568" s="8">
        <f t="shared" si="68"/>
        <v>127259237</v>
      </c>
      <c r="BD568" s="4"/>
      <c r="BE568" s="4">
        <f t="shared" si="69"/>
        <v>127259237</v>
      </c>
      <c r="BF568" s="30">
        <f t="shared" si="70"/>
        <v>127259237</v>
      </c>
      <c r="BG568" s="18">
        <f t="shared" si="71"/>
        <v>0</v>
      </c>
      <c r="BH568" s="23"/>
      <c r="BI568" s="23"/>
      <c r="BJ568" s="23"/>
    </row>
    <row r="569" spans="1:66" ht="15" customHeight="1" x14ac:dyDescent="0.2">
      <c r="A569" s="1">
        <v>8000192184</v>
      </c>
      <c r="B569" s="1">
        <v>800019218</v>
      </c>
      <c r="C569" s="15">
        <v>213608436</v>
      </c>
      <c r="D569" s="16" t="s">
        <v>168</v>
      </c>
      <c r="E569" s="41" t="s">
        <v>1196</v>
      </c>
      <c r="F569" s="28"/>
      <c r="G569" s="2"/>
      <c r="H569" s="3"/>
      <c r="I569" s="2"/>
      <c r="J569" s="29"/>
      <c r="K569" s="3"/>
      <c r="L569" s="2"/>
      <c r="M569" s="8"/>
      <c r="N569" s="3"/>
      <c r="O569" s="2"/>
      <c r="P569" s="3"/>
      <c r="Q569" s="2"/>
      <c r="R569" s="3"/>
      <c r="S569" s="3"/>
      <c r="T569" s="2"/>
      <c r="U569" s="8">
        <f t="shared" si="66"/>
        <v>0</v>
      </c>
      <c r="V569" s="8"/>
      <c r="W569" s="8"/>
      <c r="X569" s="8"/>
      <c r="Y569" s="8"/>
      <c r="Z569" s="8"/>
      <c r="AA569" s="8"/>
      <c r="AB569" s="8"/>
      <c r="AC569" s="8">
        <f t="shared" si="67"/>
        <v>0</v>
      </c>
      <c r="AD569" s="8"/>
      <c r="AE569" s="8"/>
      <c r="AF569" s="8"/>
      <c r="AG569" s="8"/>
      <c r="AH569" s="8"/>
      <c r="AI569" s="8"/>
      <c r="AJ569" s="8"/>
      <c r="AK569" s="8"/>
      <c r="AL569" s="8"/>
      <c r="AM569" s="8">
        <v>25960156</v>
      </c>
      <c r="AN569" s="8">
        <f>SUBTOTAL(9,AC569:AM569)</f>
        <v>25960156</v>
      </c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>
        <f>VLOOKUP(B569,[1]Hoja3!J$3:K$674,2,0)</f>
        <v>279141244</v>
      </c>
      <c r="BB569" s="8"/>
      <c r="BC569" s="8">
        <f t="shared" si="68"/>
        <v>305101400</v>
      </c>
      <c r="BD569" s="4"/>
      <c r="BE569" s="4">
        <f t="shared" si="69"/>
        <v>305101400</v>
      </c>
      <c r="BF569" s="30">
        <f t="shared" si="70"/>
        <v>305101400</v>
      </c>
      <c r="BG569" s="18">
        <f t="shared" si="71"/>
        <v>0</v>
      </c>
      <c r="BH569" s="23"/>
      <c r="BI569" s="23"/>
      <c r="BJ569" s="23"/>
    </row>
    <row r="570" spans="1:66" ht="15" customHeight="1" x14ac:dyDescent="0.2">
      <c r="A570" s="1">
        <v>8923017615</v>
      </c>
      <c r="B570" s="1">
        <v>892301761</v>
      </c>
      <c r="C570" s="15">
        <v>214320443</v>
      </c>
      <c r="D570" s="16" t="s">
        <v>427</v>
      </c>
      <c r="E570" s="41" t="s">
        <v>1454</v>
      </c>
      <c r="F570" s="28"/>
      <c r="G570" s="2"/>
      <c r="H570" s="3"/>
      <c r="I570" s="2"/>
      <c r="J570" s="29"/>
      <c r="K570" s="3"/>
      <c r="L570" s="2"/>
      <c r="M570" s="8"/>
      <c r="N570" s="3"/>
      <c r="O570" s="2"/>
      <c r="P570" s="3"/>
      <c r="Q570" s="2"/>
      <c r="R570" s="3"/>
      <c r="S570" s="3"/>
      <c r="T570" s="2"/>
      <c r="U570" s="8">
        <f t="shared" si="66"/>
        <v>0</v>
      </c>
      <c r="V570" s="8"/>
      <c r="W570" s="8"/>
      <c r="X570" s="8"/>
      <c r="Y570" s="8"/>
      <c r="Z570" s="8"/>
      <c r="AA570" s="8"/>
      <c r="AB570" s="8"/>
      <c r="AC570" s="8">
        <f t="shared" si="67"/>
        <v>0</v>
      </c>
      <c r="AD570" s="8"/>
      <c r="AE570" s="8"/>
      <c r="AF570" s="8"/>
      <c r="AG570" s="8"/>
      <c r="AH570" s="8"/>
      <c r="AI570" s="8"/>
      <c r="AJ570" s="8"/>
      <c r="AK570" s="8"/>
      <c r="AL570" s="8"/>
      <c r="AM570" s="8">
        <v>128954314</v>
      </c>
      <c r="AN570" s="8">
        <f>SUBTOTAL(9,AC570:AM570)</f>
        <v>128954314</v>
      </c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>
        <v>105873920</v>
      </c>
      <c r="AZ570" s="8"/>
      <c r="BA570" s="8">
        <f>VLOOKUP(B570,[1]Hoja3!J$3:K$674,2,0)</f>
        <v>81151667</v>
      </c>
      <c r="BB570" s="8"/>
      <c r="BC570" s="8">
        <f t="shared" si="68"/>
        <v>315979901</v>
      </c>
      <c r="BD570" s="4">
        <v>105873920</v>
      </c>
      <c r="BE570" s="4">
        <f t="shared" si="69"/>
        <v>210105981</v>
      </c>
      <c r="BF570" s="30">
        <f t="shared" si="70"/>
        <v>315979901</v>
      </c>
      <c r="BG570" s="18">
        <f t="shared" si="71"/>
        <v>0</v>
      </c>
      <c r="BH570" s="23"/>
      <c r="BI570" s="23"/>
      <c r="BJ570" s="23"/>
    </row>
    <row r="571" spans="1:66" ht="15" customHeight="1" x14ac:dyDescent="0.2">
      <c r="A571" s="1">
        <v>8921150248</v>
      </c>
      <c r="B571" s="1">
        <v>892115024</v>
      </c>
      <c r="C571" s="15">
        <v>216044560</v>
      </c>
      <c r="D571" s="16" t="s">
        <v>637</v>
      </c>
      <c r="E571" s="41" t="s">
        <v>1656</v>
      </c>
      <c r="F571" s="28"/>
      <c r="G571" s="17"/>
      <c r="H571" s="3"/>
      <c r="I571" s="2"/>
      <c r="J571" s="29"/>
      <c r="K571" s="3"/>
      <c r="L571" s="17"/>
      <c r="M571" s="34"/>
      <c r="N571" s="3"/>
      <c r="O571" s="17"/>
      <c r="P571" s="3"/>
      <c r="Q571" s="2"/>
      <c r="R571" s="3"/>
      <c r="S571" s="3"/>
      <c r="T571" s="17"/>
      <c r="U571" s="8">
        <f t="shared" si="66"/>
        <v>0</v>
      </c>
      <c r="V571" s="8"/>
      <c r="W571" s="8"/>
      <c r="X571" s="8"/>
      <c r="Y571" s="8"/>
      <c r="Z571" s="8"/>
      <c r="AA571" s="8"/>
      <c r="AB571" s="8"/>
      <c r="AC571" s="8">
        <f t="shared" si="67"/>
        <v>0</v>
      </c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>
        <v>1595958135</v>
      </c>
      <c r="AZ571" s="8"/>
      <c r="BA571" s="8">
        <f>VLOOKUP(B571,[1]Hoja3!J$3:K$674,2,0)</f>
        <v>178052087</v>
      </c>
      <c r="BB571" s="8"/>
      <c r="BC571" s="8">
        <f t="shared" si="68"/>
        <v>1774010222</v>
      </c>
      <c r="BD571" s="4">
        <v>1595958135</v>
      </c>
      <c r="BE571" s="4">
        <f t="shared" si="69"/>
        <v>178052087</v>
      </c>
      <c r="BF571" s="30">
        <f t="shared" si="70"/>
        <v>1774010222</v>
      </c>
      <c r="BG571" s="18">
        <f t="shared" si="71"/>
        <v>0</v>
      </c>
      <c r="BH571" s="23"/>
      <c r="BI571" s="14"/>
      <c r="BJ571" s="14"/>
      <c r="BK571" s="14"/>
      <c r="BL571" s="14"/>
      <c r="BM571" s="14"/>
      <c r="BN571" s="14"/>
    </row>
    <row r="572" spans="1:66" ht="15" customHeight="1" x14ac:dyDescent="0.2">
      <c r="A572" s="1">
        <v>8000084563</v>
      </c>
      <c r="B572" s="1">
        <v>800008456</v>
      </c>
      <c r="C572" s="15">
        <v>213985139</v>
      </c>
      <c r="D572" s="16" t="s">
        <v>960</v>
      </c>
      <c r="E572" s="41" t="s">
        <v>2021</v>
      </c>
      <c r="F572" s="28"/>
      <c r="G572" s="2"/>
      <c r="H572" s="3"/>
      <c r="I572" s="2"/>
      <c r="J572" s="29"/>
      <c r="K572" s="3"/>
      <c r="L572" s="2"/>
      <c r="M572" s="8"/>
      <c r="N572" s="3"/>
      <c r="O572" s="2"/>
      <c r="P572" s="3"/>
      <c r="Q572" s="2"/>
      <c r="R572" s="3"/>
      <c r="S572" s="3"/>
      <c r="T572" s="2"/>
      <c r="U572" s="8">
        <f t="shared" si="66"/>
        <v>0</v>
      </c>
      <c r="V572" s="8"/>
      <c r="W572" s="8"/>
      <c r="X572" s="8"/>
      <c r="Y572" s="8"/>
      <c r="Z572" s="8"/>
      <c r="AA572" s="8"/>
      <c r="AB572" s="8"/>
      <c r="AC572" s="8">
        <f t="shared" si="67"/>
        <v>0</v>
      </c>
      <c r="AD572" s="8"/>
      <c r="AE572" s="8"/>
      <c r="AF572" s="8"/>
      <c r="AG572" s="8"/>
      <c r="AH572" s="8"/>
      <c r="AI572" s="8"/>
      <c r="AJ572" s="8"/>
      <c r="AK572" s="8"/>
      <c r="AL572" s="8"/>
      <c r="AM572" s="8">
        <v>205953585</v>
      </c>
      <c r="AN572" s="8">
        <f t="shared" ref="AN572:AN592" si="73">SUBTOTAL(9,AC572:AM572)</f>
        <v>205953585</v>
      </c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>
        <v>92371615</v>
      </c>
      <c r="AZ572" s="8"/>
      <c r="BA572" s="8">
        <f>VLOOKUP(B572,[1]Hoja3!J$3:K$674,2,0)</f>
        <v>27116767</v>
      </c>
      <c r="BB572" s="8"/>
      <c r="BC572" s="8">
        <f t="shared" si="68"/>
        <v>325441967</v>
      </c>
      <c r="BD572" s="4">
        <v>92371615</v>
      </c>
      <c r="BE572" s="4">
        <f t="shared" si="69"/>
        <v>233070352</v>
      </c>
      <c r="BF572" s="30">
        <f t="shared" si="70"/>
        <v>325441967</v>
      </c>
      <c r="BG572" s="18">
        <f t="shared" si="71"/>
        <v>0</v>
      </c>
      <c r="BH572" s="23"/>
      <c r="BI572" s="23"/>
      <c r="BJ572" s="23"/>
    </row>
    <row r="573" spans="1:66" ht="15" customHeight="1" x14ac:dyDescent="0.2">
      <c r="A573" s="1">
        <v>8908010537</v>
      </c>
      <c r="B573" s="1">
        <v>890801053</v>
      </c>
      <c r="C573" s="15">
        <v>210117001</v>
      </c>
      <c r="D573" s="16" t="s">
        <v>2177</v>
      </c>
      <c r="E573" s="53" t="s">
        <v>1046</v>
      </c>
      <c r="F573" s="28"/>
      <c r="G573" s="2"/>
      <c r="H573" s="3"/>
      <c r="I573" s="2">
        <f>8854922806+581717664</f>
        <v>9436640470</v>
      </c>
      <c r="J573" s="29">
        <v>591030403</v>
      </c>
      <c r="K573" s="3">
        <v>1175500564</v>
      </c>
      <c r="L573" s="2"/>
      <c r="M573" s="37">
        <f>SUM(F573:L573)</f>
        <v>11203171437</v>
      </c>
      <c r="N573" s="3"/>
      <c r="O573" s="2"/>
      <c r="P573" s="3"/>
      <c r="Q573" s="2">
        <f>8442267091+264417120</f>
        <v>8706684211</v>
      </c>
      <c r="R573" s="3">
        <v>591030403</v>
      </c>
      <c r="S573" s="3">
        <f>584470161+591030403</f>
        <v>1175500564</v>
      </c>
      <c r="T573" s="2"/>
      <c r="U573" s="8">
        <f t="shared" si="66"/>
        <v>21676386615</v>
      </c>
      <c r="V573" s="8"/>
      <c r="W573" s="8"/>
      <c r="X573" s="8"/>
      <c r="Y573" s="8">
        <v>11703310196</v>
      </c>
      <c r="Z573" s="8">
        <v>566614985</v>
      </c>
      <c r="AA573" s="8">
        <v>1313393489</v>
      </c>
      <c r="AB573" s="8"/>
      <c r="AC573" s="8">
        <f t="shared" si="67"/>
        <v>35259705285</v>
      </c>
      <c r="AD573" s="8"/>
      <c r="AE573" s="8"/>
      <c r="AF573" s="8"/>
      <c r="AG573" s="8"/>
      <c r="AH573" s="8">
        <v>8375723877</v>
      </c>
      <c r="AI573" s="8">
        <v>2069497966</v>
      </c>
      <c r="AJ573" s="8">
        <v>604754298</v>
      </c>
      <c r="AK573" s="8">
        <v>1523658643</v>
      </c>
      <c r="AL573" s="8"/>
      <c r="AM573" s="8">
        <v>3247620774</v>
      </c>
      <c r="AN573" s="8">
        <f t="shared" si="73"/>
        <v>51080960843</v>
      </c>
      <c r="AO573" s="8"/>
      <c r="AP573" s="8"/>
      <c r="AQ573" s="8">
        <v>1337192500</v>
      </c>
      <c r="AR573" s="8"/>
      <c r="AS573" s="8"/>
      <c r="AT573" s="8">
        <v>8375723877</v>
      </c>
      <c r="AU573" s="8"/>
      <c r="AV573" s="8">
        <v>604754298</v>
      </c>
      <c r="AW573" s="8">
        <v>1031898297</v>
      </c>
      <c r="AX573" s="8"/>
      <c r="AY573" s="8"/>
      <c r="AZ573" s="8"/>
      <c r="BA573" s="8"/>
      <c r="BB573" s="8"/>
      <c r="BC573" s="8">
        <f t="shared" si="68"/>
        <v>62430529815</v>
      </c>
      <c r="BD573" s="4">
        <v>59182909041</v>
      </c>
      <c r="BE573" s="4">
        <f t="shared" si="69"/>
        <v>3247620774</v>
      </c>
      <c r="BF573" s="30">
        <f t="shared" si="70"/>
        <v>62430529815</v>
      </c>
      <c r="BG573" s="18">
        <f t="shared" si="71"/>
        <v>0</v>
      </c>
      <c r="BH573" s="23"/>
      <c r="BI573" s="23"/>
      <c r="BJ573" s="23"/>
    </row>
    <row r="574" spans="1:66" ht="15" customHeight="1" x14ac:dyDescent="0.2">
      <c r="A574" s="1">
        <v>8000947113</v>
      </c>
      <c r="B574" s="1">
        <v>800094711</v>
      </c>
      <c r="C574" s="15">
        <v>213625436</v>
      </c>
      <c r="D574" s="16" t="s">
        <v>512</v>
      </c>
      <c r="E574" s="41" t="s">
        <v>1537</v>
      </c>
      <c r="F574" s="28"/>
      <c r="G574" s="2"/>
      <c r="H574" s="3"/>
      <c r="I574" s="2"/>
      <c r="J574" s="29"/>
      <c r="K574" s="3"/>
      <c r="L574" s="2"/>
      <c r="M574" s="8"/>
      <c r="N574" s="3"/>
      <c r="O574" s="2"/>
      <c r="P574" s="3"/>
      <c r="Q574" s="2"/>
      <c r="R574" s="3"/>
      <c r="S574" s="3"/>
      <c r="T574" s="2"/>
      <c r="U574" s="8">
        <f t="shared" si="66"/>
        <v>0</v>
      </c>
      <c r="V574" s="8"/>
      <c r="W574" s="8"/>
      <c r="X574" s="8"/>
      <c r="Y574" s="8"/>
      <c r="Z574" s="8"/>
      <c r="AA574" s="8"/>
      <c r="AB574" s="8"/>
      <c r="AC574" s="8">
        <f t="shared" si="67"/>
        <v>0</v>
      </c>
      <c r="AD574" s="8"/>
      <c r="AE574" s="8"/>
      <c r="AF574" s="8"/>
      <c r="AG574" s="8"/>
      <c r="AH574" s="8"/>
      <c r="AI574" s="8"/>
      <c r="AJ574" s="8"/>
      <c r="AK574" s="8"/>
      <c r="AL574" s="8"/>
      <c r="AM574" s="8">
        <v>47234207</v>
      </c>
      <c r="AN574" s="8">
        <f t="shared" si="73"/>
        <v>47234207</v>
      </c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>
        <v>26860705</v>
      </c>
      <c r="AZ574" s="8"/>
      <c r="BA574" s="8"/>
      <c r="BB574" s="8"/>
      <c r="BC574" s="8">
        <f t="shared" si="68"/>
        <v>74094912</v>
      </c>
      <c r="BD574" s="4">
        <v>26860705</v>
      </c>
      <c r="BE574" s="4">
        <f t="shared" si="69"/>
        <v>47234207</v>
      </c>
      <c r="BF574" s="30">
        <f t="shared" si="70"/>
        <v>74094912</v>
      </c>
      <c r="BG574" s="18">
        <f t="shared" si="71"/>
        <v>0</v>
      </c>
      <c r="BH574" s="23"/>
      <c r="BI574" s="23"/>
      <c r="BJ574" s="23"/>
    </row>
    <row r="575" spans="1:66" ht="15" customHeight="1" x14ac:dyDescent="0.2">
      <c r="A575" s="1">
        <v>8908025059</v>
      </c>
      <c r="B575" s="1">
        <v>890802505</v>
      </c>
      <c r="C575" s="15">
        <v>213317433</v>
      </c>
      <c r="D575" s="16" t="s">
        <v>344</v>
      </c>
      <c r="E575" s="41" t="s">
        <v>1374</v>
      </c>
      <c r="F575" s="28"/>
      <c r="G575" s="2"/>
      <c r="H575" s="3"/>
      <c r="I575" s="2"/>
      <c r="J575" s="29"/>
      <c r="K575" s="3"/>
      <c r="L575" s="2"/>
      <c r="M575" s="8"/>
      <c r="N575" s="3"/>
      <c r="O575" s="2"/>
      <c r="P575" s="3"/>
      <c r="Q575" s="2"/>
      <c r="R575" s="3"/>
      <c r="S575" s="3"/>
      <c r="T575" s="2"/>
      <c r="U575" s="8">
        <f t="shared" si="66"/>
        <v>0</v>
      </c>
      <c r="V575" s="8"/>
      <c r="W575" s="8"/>
      <c r="X575" s="8"/>
      <c r="Y575" s="8"/>
      <c r="Z575" s="8"/>
      <c r="AA575" s="8"/>
      <c r="AB575" s="8"/>
      <c r="AC575" s="8">
        <f t="shared" si="67"/>
        <v>0</v>
      </c>
      <c r="AD575" s="8"/>
      <c r="AE575" s="8"/>
      <c r="AF575" s="8"/>
      <c r="AG575" s="8"/>
      <c r="AH575" s="8"/>
      <c r="AI575" s="8"/>
      <c r="AJ575" s="8"/>
      <c r="AK575" s="8"/>
      <c r="AL575" s="8"/>
      <c r="AM575" s="8">
        <v>249610082</v>
      </c>
      <c r="AN575" s="8">
        <f t="shared" si="73"/>
        <v>249610082</v>
      </c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>
        <v>124887705</v>
      </c>
      <c r="AZ575" s="8"/>
      <c r="BA575" s="8"/>
      <c r="BB575" s="8"/>
      <c r="BC575" s="8">
        <f t="shared" si="68"/>
        <v>374497787</v>
      </c>
      <c r="BD575" s="4">
        <v>124887705</v>
      </c>
      <c r="BE575" s="4">
        <f t="shared" si="69"/>
        <v>249610082</v>
      </c>
      <c r="BF575" s="30">
        <f t="shared" si="70"/>
        <v>374497787</v>
      </c>
      <c r="BG575" s="18">
        <f t="shared" si="71"/>
        <v>0</v>
      </c>
      <c r="BH575" s="23"/>
      <c r="BI575" s="23"/>
      <c r="BJ575" s="23"/>
    </row>
    <row r="576" spans="1:66" ht="15" customHeight="1" x14ac:dyDescent="0.2">
      <c r="A576" s="1">
        <v>8001364586</v>
      </c>
      <c r="B576" s="1">
        <v>800136458</v>
      </c>
      <c r="C576" s="15">
        <v>212550325</v>
      </c>
      <c r="D576" s="16" t="s">
        <v>677</v>
      </c>
      <c r="E576" s="41" t="s">
        <v>1699</v>
      </c>
      <c r="F576" s="28"/>
      <c r="G576" s="2"/>
      <c r="H576" s="3"/>
      <c r="I576" s="2"/>
      <c r="J576" s="29"/>
      <c r="K576" s="3"/>
      <c r="L576" s="2"/>
      <c r="M576" s="8"/>
      <c r="N576" s="3"/>
      <c r="O576" s="2"/>
      <c r="P576" s="3"/>
      <c r="Q576" s="2"/>
      <c r="R576" s="3"/>
      <c r="S576" s="3"/>
      <c r="T576" s="2"/>
      <c r="U576" s="8">
        <f t="shared" si="66"/>
        <v>0</v>
      </c>
      <c r="V576" s="8"/>
      <c r="W576" s="8"/>
      <c r="X576" s="8"/>
      <c r="Y576" s="8"/>
      <c r="Z576" s="8"/>
      <c r="AA576" s="8"/>
      <c r="AB576" s="8"/>
      <c r="AC576" s="8">
        <f t="shared" si="67"/>
        <v>0</v>
      </c>
      <c r="AD576" s="8"/>
      <c r="AE576" s="8"/>
      <c r="AF576" s="8"/>
      <c r="AG576" s="8"/>
      <c r="AH576" s="8"/>
      <c r="AI576" s="8"/>
      <c r="AJ576" s="8"/>
      <c r="AK576" s="8"/>
      <c r="AL576" s="8"/>
      <c r="AM576" s="8">
        <v>71410449</v>
      </c>
      <c r="AN576" s="8">
        <f t="shared" si="73"/>
        <v>71410449</v>
      </c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>
        <f t="shared" si="68"/>
        <v>71410449</v>
      </c>
      <c r="BD576" s="4"/>
      <c r="BE576" s="4">
        <f t="shared" si="69"/>
        <v>71410449</v>
      </c>
      <c r="BF576" s="30">
        <f t="shared" si="70"/>
        <v>71410449</v>
      </c>
      <c r="BG576" s="18">
        <f t="shared" si="71"/>
        <v>0</v>
      </c>
      <c r="BH576" s="23"/>
      <c r="BI576" s="23"/>
      <c r="BJ576" s="23"/>
    </row>
    <row r="577" spans="1:66" ht="15" customHeight="1" x14ac:dyDescent="0.2">
      <c r="A577" s="1">
        <v>8000955111</v>
      </c>
      <c r="B577" s="1">
        <v>800095511</v>
      </c>
      <c r="C577" s="15">
        <v>214013440</v>
      </c>
      <c r="D577" s="16" t="s">
        <v>195</v>
      </c>
      <c r="E577" s="41" t="s">
        <v>1226</v>
      </c>
      <c r="F577" s="28"/>
      <c r="G577" s="17"/>
      <c r="H577" s="3"/>
      <c r="I577" s="2"/>
      <c r="J577" s="29"/>
      <c r="K577" s="3"/>
      <c r="L577" s="17"/>
      <c r="M577" s="34"/>
      <c r="N577" s="3"/>
      <c r="O577" s="17"/>
      <c r="P577" s="3"/>
      <c r="Q577" s="2"/>
      <c r="R577" s="3"/>
      <c r="S577" s="3"/>
      <c r="T577" s="17"/>
      <c r="U577" s="8">
        <f t="shared" si="66"/>
        <v>0</v>
      </c>
      <c r="V577" s="8"/>
      <c r="W577" s="8"/>
      <c r="X577" s="8"/>
      <c r="Y577" s="8"/>
      <c r="Z577" s="8"/>
      <c r="AA577" s="8"/>
      <c r="AB577" s="8"/>
      <c r="AC577" s="8">
        <f t="shared" si="67"/>
        <v>0</v>
      </c>
      <c r="AD577" s="8"/>
      <c r="AE577" s="8"/>
      <c r="AF577" s="8"/>
      <c r="AG577" s="8"/>
      <c r="AH577" s="8"/>
      <c r="AI577" s="8"/>
      <c r="AJ577" s="8"/>
      <c r="AK577" s="8"/>
      <c r="AL577" s="8"/>
      <c r="AM577" s="8">
        <v>193007181</v>
      </c>
      <c r="AN577" s="8">
        <f t="shared" si="73"/>
        <v>193007181</v>
      </c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>
        <f t="shared" si="68"/>
        <v>193007181</v>
      </c>
      <c r="BD577" s="4"/>
      <c r="BE577" s="4">
        <f t="shared" si="69"/>
        <v>193007181</v>
      </c>
      <c r="BF577" s="30">
        <f t="shared" si="70"/>
        <v>193007181</v>
      </c>
      <c r="BG577" s="18">
        <f t="shared" si="71"/>
        <v>0</v>
      </c>
      <c r="BH577" s="23"/>
      <c r="BI577" s="14"/>
      <c r="BJ577" s="14"/>
      <c r="BK577" s="14"/>
      <c r="BL577" s="14"/>
      <c r="BM577" s="14"/>
      <c r="BN577" s="14"/>
    </row>
    <row r="578" spans="1:66" ht="15" customHeight="1" x14ac:dyDescent="0.2">
      <c r="A578" s="1">
        <v>8000954668</v>
      </c>
      <c r="B578" s="1">
        <v>800095466</v>
      </c>
      <c r="C578" s="15">
        <v>214213442</v>
      </c>
      <c r="D578" s="16" t="s">
        <v>196</v>
      </c>
      <c r="E578" s="41" t="s">
        <v>1227</v>
      </c>
      <c r="F578" s="28"/>
      <c r="G578" s="17"/>
      <c r="H578" s="3"/>
      <c r="I578" s="2"/>
      <c r="J578" s="29"/>
      <c r="K578" s="3"/>
      <c r="L578" s="17"/>
      <c r="M578" s="34"/>
      <c r="N578" s="3"/>
      <c r="O578" s="17"/>
      <c r="P578" s="3"/>
      <c r="Q578" s="2"/>
      <c r="R578" s="3"/>
      <c r="S578" s="3"/>
      <c r="T578" s="17"/>
      <c r="U578" s="8">
        <f t="shared" si="66"/>
        <v>0</v>
      </c>
      <c r="V578" s="8"/>
      <c r="W578" s="8"/>
      <c r="X578" s="8"/>
      <c r="Y578" s="8"/>
      <c r="Z578" s="8"/>
      <c r="AA578" s="8"/>
      <c r="AB578" s="8"/>
      <c r="AC578" s="8">
        <f t="shared" si="67"/>
        <v>0</v>
      </c>
      <c r="AD578" s="8"/>
      <c r="AE578" s="8"/>
      <c r="AF578" s="8"/>
      <c r="AG578" s="8"/>
      <c r="AH578" s="8"/>
      <c r="AI578" s="8"/>
      <c r="AJ578" s="8"/>
      <c r="AK578" s="8"/>
      <c r="AL578" s="8"/>
      <c r="AM578" s="8">
        <v>129763423</v>
      </c>
      <c r="AN578" s="8">
        <f t="shared" si="73"/>
        <v>129763423</v>
      </c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>
        <f>VLOOKUP(B578,[1]Hoja3!J$3:K$674,2,0)</f>
        <v>839982284</v>
      </c>
      <c r="BB578" s="8"/>
      <c r="BC578" s="8">
        <f t="shared" si="68"/>
        <v>969745707</v>
      </c>
      <c r="BD578" s="4"/>
      <c r="BE578" s="4">
        <f t="shared" si="69"/>
        <v>969745707</v>
      </c>
      <c r="BF578" s="30">
        <f t="shared" si="70"/>
        <v>969745707</v>
      </c>
      <c r="BG578" s="18">
        <f t="shared" si="71"/>
        <v>0</v>
      </c>
      <c r="BH578" s="23"/>
      <c r="BI578" s="14"/>
      <c r="BJ578" s="14"/>
      <c r="BK578" s="14"/>
      <c r="BL578" s="14"/>
      <c r="BM578" s="14"/>
      <c r="BN578" s="14"/>
    </row>
    <row r="579" spans="1:66" ht="15" customHeight="1" x14ac:dyDescent="0.2">
      <c r="A579" s="1">
        <v>8909837161</v>
      </c>
      <c r="B579" s="1">
        <v>890983716</v>
      </c>
      <c r="C579" s="15">
        <v>214005440</v>
      </c>
      <c r="D579" s="16" t="s">
        <v>107</v>
      </c>
      <c r="E579" s="41" t="s">
        <v>1138</v>
      </c>
      <c r="F579" s="28"/>
      <c r="G579" s="2"/>
      <c r="H579" s="3"/>
      <c r="I579" s="2"/>
      <c r="J579" s="29"/>
      <c r="K579" s="3"/>
      <c r="L579" s="2"/>
      <c r="M579" s="8"/>
      <c r="N579" s="3"/>
      <c r="O579" s="2"/>
      <c r="P579" s="3"/>
      <c r="Q579" s="2"/>
      <c r="R579" s="3"/>
      <c r="S579" s="3"/>
      <c r="T579" s="2"/>
      <c r="U579" s="8">
        <f t="shared" ref="U579:U642" si="74">SUM(M579:T579)</f>
        <v>0</v>
      </c>
      <c r="V579" s="8"/>
      <c r="W579" s="8"/>
      <c r="X579" s="8"/>
      <c r="Y579" s="8"/>
      <c r="Z579" s="8"/>
      <c r="AA579" s="8"/>
      <c r="AB579" s="8"/>
      <c r="AC579" s="8">
        <f t="shared" si="67"/>
        <v>0</v>
      </c>
      <c r="AD579" s="8"/>
      <c r="AE579" s="8"/>
      <c r="AF579" s="8"/>
      <c r="AG579" s="8"/>
      <c r="AH579" s="8"/>
      <c r="AI579" s="8"/>
      <c r="AJ579" s="8"/>
      <c r="AK579" s="8"/>
      <c r="AL579" s="8"/>
      <c r="AM579" s="8">
        <v>453616591</v>
      </c>
      <c r="AN579" s="8">
        <f t="shared" si="73"/>
        <v>453616591</v>
      </c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>
        <v>292874615</v>
      </c>
      <c r="AZ579" s="8"/>
      <c r="BA579" s="8">
        <f>VLOOKUP(B579,[1]Hoja3!J$3:K$674,2,0)</f>
        <v>261253989</v>
      </c>
      <c r="BB579" s="8"/>
      <c r="BC579" s="8">
        <f t="shared" si="68"/>
        <v>1007745195</v>
      </c>
      <c r="BD579" s="4">
        <v>292874615</v>
      </c>
      <c r="BE579" s="4">
        <f t="shared" si="69"/>
        <v>714870580</v>
      </c>
      <c r="BF579" s="30">
        <f t="shared" si="70"/>
        <v>1007745195</v>
      </c>
      <c r="BG579" s="18">
        <f t="shared" si="71"/>
        <v>0</v>
      </c>
      <c r="BH579" s="23"/>
      <c r="BI579" s="23"/>
      <c r="BJ579" s="23"/>
    </row>
    <row r="580" spans="1:66" ht="15" customHeight="1" x14ac:dyDescent="0.2">
      <c r="A580" s="1">
        <v>8000247898</v>
      </c>
      <c r="B580" s="1">
        <v>800024789</v>
      </c>
      <c r="C580" s="15">
        <v>214215442</v>
      </c>
      <c r="D580" s="16" t="s">
        <v>267</v>
      </c>
      <c r="E580" s="41" t="s">
        <v>1301</v>
      </c>
      <c r="F580" s="28"/>
      <c r="G580" s="17"/>
      <c r="H580" s="3"/>
      <c r="I580" s="2"/>
      <c r="J580" s="29"/>
      <c r="K580" s="3"/>
      <c r="L580" s="17"/>
      <c r="M580" s="34"/>
      <c r="N580" s="3"/>
      <c r="O580" s="17"/>
      <c r="P580" s="3"/>
      <c r="Q580" s="2"/>
      <c r="R580" s="3"/>
      <c r="S580" s="3"/>
      <c r="T580" s="17"/>
      <c r="U580" s="8">
        <f t="shared" si="74"/>
        <v>0</v>
      </c>
      <c r="V580" s="8"/>
      <c r="W580" s="8"/>
      <c r="X580" s="8"/>
      <c r="Y580" s="8"/>
      <c r="Z580" s="8"/>
      <c r="AA580" s="8"/>
      <c r="AB580" s="8"/>
      <c r="AC580" s="8">
        <f t="shared" ref="AC580:AC643" si="75">SUM(U580:AB580)</f>
        <v>0</v>
      </c>
      <c r="AD580" s="8"/>
      <c r="AE580" s="8"/>
      <c r="AF580" s="8"/>
      <c r="AG580" s="8"/>
      <c r="AH580" s="8"/>
      <c r="AI580" s="8"/>
      <c r="AJ580" s="8"/>
      <c r="AK580" s="8"/>
      <c r="AL580" s="8"/>
      <c r="AM580" s="8">
        <v>76197174</v>
      </c>
      <c r="AN580" s="8">
        <f t="shared" si="73"/>
        <v>76197174</v>
      </c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>
        <v>64060420</v>
      </c>
      <c r="AZ580" s="8"/>
      <c r="BA580" s="8">
        <f>VLOOKUP(B580,[1]Hoja3!J$3:K$674,2,0)</f>
        <v>19570531</v>
      </c>
      <c r="BB580" s="8"/>
      <c r="BC580" s="8">
        <f t="shared" ref="BC580:BC643" si="76">SUM(AN580:BA580)-BB580</f>
        <v>159828125</v>
      </c>
      <c r="BD580" s="4">
        <v>64060420</v>
      </c>
      <c r="BE580" s="4">
        <f t="shared" ref="BE580:BE643" si="77">+AM580+BA580-BB580</f>
        <v>95767705</v>
      </c>
      <c r="BF580" s="30">
        <f t="shared" ref="BF580:BF643" si="78">+BD580+BE580</f>
        <v>159828125</v>
      </c>
      <c r="BG580" s="18">
        <f t="shared" ref="BG580:BG643" si="79">+BC580-BF580</f>
        <v>0</v>
      </c>
      <c r="BH580" s="23"/>
      <c r="BI580" s="14"/>
      <c r="BJ580" s="14"/>
      <c r="BK580" s="14"/>
      <c r="BL580" s="14"/>
      <c r="BM580" s="14"/>
      <c r="BN580" s="14"/>
    </row>
    <row r="581" spans="1:66" ht="15" customHeight="1" x14ac:dyDescent="0.2">
      <c r="A581" s="1">
        <v>8907013421</v>
      </c>
      <c r="B581" s="1">
        <v>890701342</v>
      </c>
      <c r="C581" s="15">
        <v>214373443</v>
      </c>
      <c r="D581" s="16" t="s">
        <v>2227</v>
      </c>
      <c r="E581" s="41" t="s">
        <v>1952</v>
      </c>
      <c r="F581" s="28"/>
      <c r="G581" s="2"/>
      <c r="H581" s="3"/>
      <c r="I581" s="2"/>
      <c r="J581" s="29"/>
      <c r="K581" s="3"/>
      <c r="L581" s="2"/>
      <c r="M581" s="8"/>
      <c r="N581" s="3"/>
      <c r="O581" s="2"/>
      <c r="P581" s="3"/>
      <c r="Q581" s="2"/>
      <c r="R581" s="3"/>
      <c r="S581" s="3"/>
      <c r="T581" s="2"/>
      <c r="U581" s="8">
        <f t="shared" si="74"/>
        <v>0</v>
      </c>
      <c r="V581" s="8"/>
      <c r="W581" s="8"/>
      <c r="X581" s="8"/>
      <c r="Y581" s="8"/>
      <c r="Z581" s="8"/>
      <c r="AA581" s="8"/>
      <c r="AB581" s="8"/>
      <c r="AC581" s="8">
        <f t="shared" si="75"/>
        <v>0</v>
      </c>
      <c r="AD581" s="8"/>
      <c r="AE581" s="8"/>
      <c r="AF581" s="8"/>
      <c r="AG581" s="8"/>
      <c r="AH581" s="8"/>
      <c r="AI581" s="8"/>
      <c r="AJ581" s="8"/>
      <c r="AK581" s="8"/>
      <c r="AL581" s="8"/>
      <c r="AM581" s="8">
        <v>479305094</v>
      </c>
      <c r="AN581" s="8">
        <f t="shared" si="73"/>
        <v>479305094</v>
      </c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>
        <v>213538310</v>
      </c>
      <c r="AZ581" s="8"/>
      <c r="BA581" s="8"/>
      <c r="BB581" s="8"/>
      <c r="BC581" s="8">
        <f t="shared" si="76"/>
        <v>692843404</v>
      </c>
      <c r="BD581" s="4">
        <v>213538310</v>
      </c>
      <c r="BE581" s="4">
        <f t="shared" si="77"/>
        <v>479305094</v>
      </c>
      <c r="BF581" s="30">
        <f t="shared" si="78"/>
        <v>692843404</v>
      </c>
      <c r="BG581" s="18">
        <f t="shared" si="79"/>
        <v>0</v>
      </c>
      <c r="BH581" s="23"/>
      <c r="BI581" s="23"/>
      <c r="BJ581" s="23"/>
    </row>
    <row r="582" spans="1:66" ht="15" customHeight="1" x14ac:dyDescent="0.2">
      <c r="A582" s="1">
        <v>8908011456</v>
      </c>
      <c r="B582" s="1">
        <v>890801145</v>
      </c>
      <c r="C582" s="15">
        <v>214217442</v>
      </c>
      <c r="D582" s="16" t="s">
        <v>345</v>
      </c>
      <c r="E582" s="41" t="s">
        <v>1375</v>
      </c>
      <c r="F582" s="28"/>
      <c r="G582" s="2"/>
      <c r="H582" s="3"/>
      <c r="I582" s="2"/>
      <c r="J582" s="29"/>
      <c r="K582" s="3"/>
      <c r="L582" s="2"/>
      <c r="M582" s="8"/>
      <c r="N582" s="3"/>
      <c r="O582" s="2"/>
      <c r="P582" s="3"/>
      <c r="Q582" s="2"/>
      <c r="R582" s="3"/>
      <c r="S582" s="3"/>
      <c r="T582" s="2"/>
      <c r="U582" s="8">
        <f t="shared" si="74"/>
        <v>0</v>
      </c>
      <c r="V582" s="8"/>
      <c r="W582" s="8"/>
      <c r="X582" s="8"/>
      <c r="Y582" s="8"/>
      <c r="Z582" s="8"/>
      <c r="AA582" s="8"/>
      <c r="AB582" s="8"/>
      <c r="AC582" s="8">
        <f t="shared" si="75"/>
        <v>0</v>
      </c>
      <c r="AD582" s="8"/>
      <c r="AE582" s="8"/>
      <c r="AF582" s="8"/>
      <c r="AG582" s="8"/>
      <c r="AH582" s="8"/>
      <c r="AI582" s="8"/>
      <c r="AJ582" s="8"/>
      <c r="AK582" s="8"/>
      <c r="AL582" s="8"/>
      <c r="AM582" s="8">
        <v>159443469</v>
      </c>
      <c r="AN582" s="8">
        <f t="shared" si="73"/>
        <v>159443469</v>
      </c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>
        <v>64787540</v>
      </c>
      <c r="AZ582" s="8"/>
      <c r="BA582" s="8"/>
      <c r="BB582" s="8"/>
      <c r="BC582" s="8">
        <f t="shared" si="76"/>
        <v>224231009</v>
      </c>
      <c r="BD582" s="4">
        <v>64787540</v>
      </c>
      <c r="BE582" s="4">
        <f t="shared" si="77"/>
        <v>159443469</v>
      </c>
      <c r="BF582" s="30">
        <f t="shared" si="78"/>
        <v>224231009</v>
      </c>
      <c r="BG582" s="18">
        <f t="shared" si="79"/>
        <v>0</v>
      </c>
      <c r="BH582" s="23"/>
      <c r="BI582" s="23"/>
      <c r="BJ582" s="23"/>
    </row>
    <row r="583" spans="1:66" ht="15" customHeight="1" x14ac:dyDescent="0.2">
      <c r="A583" s="1">
        <v>8908011470</v>
      </c>
      <c r="B583" s="1">
        <v>890801147</v>
      </c>
      <c r="C583" s="15">
        <v>214417444</v>
      </c>
      <c r="D583" s="16" t="s">
        <v>346</v>
      </c>
      <c r="E583" s="41" t="s">
        <v>1376</v>
      </c>
      <c r="F583" s="28"/>
      <c r="G583" s="2"/>
      <c r="H583" s="3"/>
      <c r="I583" s="2"/>
      <c r="J583" s="29"/>
      <c r="K583" s="3"/>
      <c r="L583" s="2"/>
      <c r="M583" s="8"/>
      <c r="N583" s="3"/>
      <c r="O583" s="2"/>
      <c r="P583" s="3"/>
      <c r="Q583" s="2"/>
      <c r="R583" s="3"/>
      <c r="S583" s="3"/>
      <c r="T583" s="2"/>
      <c r="U583" s="8">
        <f t="shared" si="74"/>
        <v>0</v>
      </c>
      <c r="V583" s="8"/>
      <c r="W583" s="8"/>
      <c r="X583" s="8"/>
      <c r="Y583" s="8"/>
      <c r="Z583" s="8"/>
      <c r="AA583" s="8"/>
      <c r="AB583" s="8"/>
      <c r="AC583" s="8">
        <f t="shared" si="75"/>
        <v>0</v>
      </c>
      <c r="AD583" s="8"/>
      <c r="AE583" s="8"/>
      <c r="AF583" s="8"/>
      <c r="AG583" s="8"/>
      <c r="AH583" s="8"/>
      <c r="AI583" s="8"/>
      <c r="AJ583" s="8"/>
      <c r="AK583" s="8"/>
      <c r="AL583" s="8"/>
      <c r="AM583" s="8">
        <v>222130363</v>
      </c>
      <c r="AN583" s="8">
        <f t="shared" si="73"/>
        <v>222130363</v>
      </c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>
        <v>95582505</v>
      </c>
      <c r="AZ583" s="8"/>
      <c r="BA583" s="8"/>
      <c r="BB583" s="8"/>
      <c r="BC583" s="8">
        <f t="shared" si="76"/>
        <v>317712868</v>
      </c>
      <c r="BD583" s="4">
        <v>95582505</v>
      </c>
      <c r="BE583" s="4">
        <f t="shared" si="77"/>
        <v>222130363</v>
      </c>
      <c r="BF583" s="30">
        <f t="shared" si="78"/>
        <v>317712868</v>
      </c>
      <c r="BG583" s="18">
        <f t="shared" si="79"/>
        <v>0</v>
      </c>
      <c r="BH583" s="23"/>
      <c r="BI583" s="23"/>
      <c r="BJ583" s="23"/>
    </row>
    <row r="584" spans="1:66" ht="15" customHeight="1" x14ac:dyDescent="0.2">
      <c r="A584" s="1">
        <v>8000993177</v>
      </c>
      <c r="B584" s="1">
        <v>800099317</v>
      </c>
      <c r="C584" s="15">
        <v>214066440</v>
      </c>
      <c r="D584" s="16" t="s">
        <v>806</v>
      </c>
      <c r="E584" s="41" t="s">
        <v>1824</v>
      </c>
      <c r="F584" s="28"/>
      <c r="G584" s="2"/>
      <c r="H584" s="3"/>
      <c r="I584" s="2"/>
      <c r="J584" s="29"/>
      <c r="K584" s="3"/>
      <c r="L584" s="2"/>
      <c r="M584" s="8"/>
      <c r="N584" s="3"/>
      <c r="O584" s="2"/>
      <c r="P584" s="3"/>
      <c r="Q584" s="2"/>
      <c r="R584" s="3"/>
      <c r="S584" s="3"/>
      <c r="T584" s="2"/>
      <c r="U584" s="8">
        <f t="shared" si="74"/>
        <v>0</v>
      </c>
      <c r="V584" s="8"/>
      <c r="W584" s="8"/>
      <c r="X584" s="8"/>
      <c r="Y584" s="8"/>
      <c r="Z584" s="8"/>
      <c r="AA584" s="8"/>
      <c r="AB584" s="8"/>
      <c r="AC584" s="8">
        <f t="shared" si="75"/>
        <v>0</v>
      </c>
      <c r="AD584" s="8"/>
      <c r="AE584" s="8"/>
      <c r="AF584" s="8"/>
      <c r="AG584" s="8"/>
      <c r="AH584" s="8"/>
      <c r="AI584" s="8"/>
      <c r="AJ584" s="8"/>
      <c r="AK584" s="8"/>
      <c r="AL584" s="8"/>
      <c r="AM584" s="8">
        <v>222570447</v>
      </c>
      <c r="AN584" s="8">
        <f t="shared" si="73"/>
        <v>222570447</v>
      </c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>
        <v>131393565</v>
      </c>
      <c r="AZ584" s="8"/>
      <c r="BA584" s="8"/>
      <c r="BB584" s="8"/>
      <c r="BC584" s="8">
        <f t="shared" si="76"/>
        <v>353964012</v>
      </c>
      <c r="BD584" s="4">
        <v>131393565</v>
      </c>
      <c r="BE584" s="4">
        <f t="shared" si="77"/>
        <v>222570447</v>
      </c>
      <c r="BF584" s="30">
        <f t="shared" si="78"/>
        <v>353964012</v>
      </c>
      <c r="BG584" s="18">
        <f t="shared" si="79"/>
        <v>0</v>
      </c>
      <c r="BH584" s="23"/>
      <c r="BI584" s="23"/>
      <c r="BJ584" s="23"/>
    </row>
    <row r="585" spans="1:66" ht="15" customHeight="1" x14ac:dyDescent="0.2">
      <c r="A585" s="1">
        <v>8908011463</v>
      </c>
      <c r="B585" s="1">
        <v>890801146</v>
      </c>
      <c r="C585" s="15">
        <v>214617446</v>
      </c>
      <c r="D585" s="16" t="s">
        <v>347</v>
      </c>
      <c r="E585" s="41" t="s">
        <v>1377</v>
      </c>
      <c r="F585" s="28"/>
      <c r="G585" s="2"/>
      <c r="H585" s="3"/>
      <c r="I585" s="2"/>
      <c r="J585" s="29"/>
      <c r="K585" s="3"/>
      <c r="L585" s="2"/>
      <c r="M585" s="8"/>
      <c r="N585" s="3"/>
      <c r="O585" s="2"/>
      <c r="P585" s="3"/>
      <c r="Q585" s="2"/>
      <c r="R585" s="3"/>
      <c r="S585" s="3"/>
      <c r="T585" s="2"/>
      <c r="U585" s="8">
        <f t="shared" si="74"/>
        <v>0</v>
      </c>
      <c r="V585" s="8"/>
      <c r="W585" s="8"/>
      <c r="X585" s="8"/>
      <c r="Y585" s="8"/>
      <c r="Z585" s="8"/>
      <c r="AA585" s="8"/>
      <c r="AB585" s="8"/>
      <c r="AC585" s="8">
        <f t="shared" si="75"/>
        <v>0</v>
      </c>
      <c r="AD585" s="8"/>
      <c r="AE585" s="8"/>
      <c r="AF585" s="8"/>
      <c r="AG585" s="8"/>
      <c r="AH585" s="8"/>
      <c r="AI585" s="8"/>
      <c r="AJ585" s="8"/>
      <c r="AK585" s="8"/>
      <c r="AL585" s="8"/>
      <c r="AM585" s="8">
        <v>31618715</v>
      </c>
      <c r="AN585" s="8">
        <f t="shared" si="73"/>
        <v>31618715</v>
      </c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>
        <v>17267855</v>
      </c>
      <c r="AZ585" s="8"/>
      <c r="BA585" s="8"/>
      <c r="BB585" s="8"/>
      <c r="BC585" s="8">
        <f t="shared" si="76"/>
        <v>48886570</v>
      </c>
      <c r="BD585" s="4">
        <v>17267855</v>
      </c>
      <c r="BE585" s="4">
        <f t="shared" si="77"/>
        <v>31618715</v>
      </c>
      <c r="BF585" s="30">
        <f t="shared" si="78"/>
        <v>48886570</v>
      </c>
      <c r="BG585" s="18">
        <f t="shared" si="79"/>
        <v>0</v>
      </c>
      <c r="BH585" s="23"/>
      <c r="BI585" s="23"/>
      <c r="BJ585" s="23"/>
    </row>
    <row r="586" spans="1:66" ht="15" customHeight="1" x14ac:dyDescent="0.2">
      <c r="A586" s="1">
        <v>8902066960</v>
      </c>
      <c r="B586" s="1">
        <v>890206696</v>
      </c>
      <c r="C586" s="15">
        <v>214468444</v>
      </c>
      <c r="D586" s="16" t="s">
        <v>857</v>
      </c>
      <c r="E586" s="41" t="s">
        <v>1872</v>
      </c>
      <c r="F586" s="28"/>
      <c r="G586" s="2"/>
      <c r="H586" s="3"/>
      <c r="I586" s="2"/>
      <c r="J586" s="29"/>
      <c r="K586" s="3"/>
      <c r="L586" s="2"/>
      <c r="M586" s="8"/>
      <c r="N586" s="3"/>
      <c r="O586" s="2"/>
      <c r="P586" s="3"/>
      <c r="Q586" s="2"/>
      <c r="R586" s="3"/>
      <c r="S586" s="3"/>
      <c r="T586" s="2"/>
      <c r="U586" s="8">
        <f t="shared" si="74"/>
        <v>0</v>
      </c>
      <c r="V586" s="8"/>
      <c r="W586" s="8"/>
      <c r="X586" s="8"/>
      <c r="Y586" s="8"/>
      <c r="Z586" s="8"/>
      <c r="AA586" s="8"/>
      <c r="AB586" s="8"/>
      <c r="AC586" s="8">
        <f t="shared" si="75"/>
        <v>0</v>
      </c>
      <c r="AD586" s="8"/>
      <c r="AE586" s="8"/>
      <c r="AF586" s="8"/>
      <c r="AG586" s="8"/>
      <c r="AH586" s="8"/>
      <c r="AI586" s="8"/>
      <c r="AJ586" s="8"/>
      <c r="AK586" s="8"/>
      <c r="AL586" s="8"/>
      <c r="AM586" s="8">
        <v>99874527</v>
      </c>
      <c r="AN586" s="8">
        <f t="shared" si="73"/>
        <v>99874527</v>
      </c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>
        <v>38445835</v>
      </c>
      <c r="AZ586" s="8"/>
      <c r="BA586" s="8"/>
      <c r="BB586" s="8"/>
      <c r="BC586" s="8">
        <f t="shared" si="76"/>
        <v>138320362</v>
      </c>
      <c r="BD586" s="4">
        <v>38445835</v>
      </c>
      <c r="BE586" s="4">
        <f t="shared" si="77"/>
        <v>99874527</v>
      </c>
      <c r="BF586" s="30">
        <f t="shared" si="78"/>
        <v>138320362</v>
      </c>
      <c r="BG586" s="18">
        <f t="shared" si="79"/>
        <v>0</v>
      </c>
      <c r="BH586" s="23"/>
      <c r="BI586" s="23"/>
      <c r="BJ586" s="23"/>
    </row>
    <row r="587" spans="1:66" ht="15" customHeight="1" x14ac:dyDescent="0.2">
      <c r="A587" s="1">
        <v>8909052111</v>
      </c>
      <c r="B587" s="48">
        <v>890905211</v>
      </c>
      <c r="C587" s="15">
        <v>210105001</v>
      </c>
      <c r="D587" s="16" t="s">
        <v>2178</v>
      </c>
      <c r="E587" s="53" t="s">
        <v>1048</v>
      </c>
      <c r="F587" s="28"/>
      <c r="G587" s="2"/>
      <c r="H587" s="3"/>
      <c r="I587" s="2">
        <f>35446426353+1171423528</f>
        <v>36617849881</v>
      </c>
      <c r="J587" s="29">
        <v>2748036229</v>
      </c>
      <c r="K587" s="3">
        <v>5448049864</v>
      </c>
      <c r="L587" s="2"/>
      <c r="M587" s="37">
        <f>SUM(F587:L587)</f>
        <v>44813935974</v>
      </c>
      <c r="N587" s="3"/>
      <c r="O587" s="2"/>
      <c r="P587" s="3"/>
      <c r="Q587" s="2">
        <f>36003255646+1500000000+16901180685</f>
        <v>54404436331</v>
      </c>
      <c r="R587" s="3">
        <v>2812540824</v>
      </c>
      <c r="S587" s="3">
        <f>2700013635+2812540824</f>
        <v>5512554459</v>
      </c>
      <c r="T587" s="2"/>
      <c r="U587" s="8">
        <f t="shared" si="74"/>
        <v>107543467588</v>
      </c>
      <c r="V587" s="8"/>
      <c r="W587" s="8"/>
      <c r="X587" s="8"/>
      <c r="Y587" s="8">
        <v>50856858717</v>
      </c>
      <c r="Z587" s="8">
        <v>2599758872</v>
      </c>
      <c r="AA587" s="8">
        <v>6149590243</v>
      </c>
      <c r="AB587" s="8"/>
      <c r="AC587" s="8">
        <f t="shared" si="75"/>
        <v>167149675420</v>
      </c>
      <c r="AD587" s="8"/>
      <c r="AE587" s="8"/>
      <c r="AF587" s="8"/>
      <c r="AG587" s="8"/>
      <c r="AH587" s="8">
        <v>47156255545</v>
      </c>
      <c r="AI587" s="8">
        <v>8614375850</v>
      </c>
      <c r="AJ587" s="8">
        <v>2833440365</v>
      </c>
      <c r="AK587" s="8">
        <v>7139307707</v>
      </c>
      <c r="AL587" s="8"/>
      <c r="AM587" s="8">
        <v>20597854925</v>
      </c>
      <c r="AN587" s="8">
        <f t="shared" si="73"/>
        <v>253490909812</v>
      </c>
      <c r="AO587" s="8"/>
      <c r="AP587" s="8"/>
      <c r="AQ587" s="8">
        <v>6664199410</v>
      </c>
      <c r="AR587" s="8"/>
      <c r="AS587" s="8"/>
      <c r="AT587" s="8">
        <v>40156255545</v>
      </c>
      <c r="AU587" s="8"/>
      <c r="AV587" s="8">
        <v>2833440365</v>
      </c>
      <c r="AW587" s="8">
        <v>4836223217</v>
      </c>
      <c r="AX587" s="8"/>
      <c r="AY587" s="8"/>
      <c r="AZ587" s="8">
        <v>10144224482</v>
      </c>
      <c r="BA587" s="8">
        <f>VLOOKUP(B587,[1]Hoja3!J$3:K$674,2,0)</f>
        <v>482470383</v>
      </c>
      <c r="BB587" s="8">
        <f>VLOOKUP(B587,'[2]anuladas en mayo gratuidad}'!K$2:L$55,2,0)</f>
        <v>543195966</v>
      </c>
      <c r="BC587" s="8">
        <f t="shared" si="76"/>
        <v>318064527248</v>
      </c>
      <c r="BD587" s="4">
        <v>297527397906</v>
      </c>
      <c r="BE587" s="4">
        <f t="shared" si="77"/>
        <v>20537129342</v>
      </c>
      <c r="BF587" s="30">
        <f t="shared" si="78"/>
        <v>318064527248</v>
      </c>
      <c r="BG587" s="18">
        <f t="shared" si="79"/>
        <v>0</v>
      </c>
      <c r="BH587" s="23"/>
      <c r="BI587" s="23"/>
      <c r="BJ587" s="23"/>
    </row>
    <row r="588" spans="1:66" ht="15" customHeight="1" x14ac:dyDescent="0.2">
      <c r="A588" s="1">
        <v>8999994708</v>
      </c>
      <c r="B588" s="1">
        <v>899999470</v>
      </c>
      <c r="C588" s="15">
        <v>213825438</v>
      </c>
      <c r="D588" s="16" t="s">
        <v>513</v>
      </c>
      <c r="E588" s="41" t="s">
        <v>1538</v>
      </c>
      <c r="F588" s="28"/>
      <c r="G588" s="2"/>
      <c r="H588" s="3"/>
      <c r="I588" s="2"/>
      <c r="J588" s="29"/>
      <c r="K588" s="3"/>
      <c r="L588" s="2"/>
      <c r="M588" s="8"/>
      <c r="N588" s="3"/>
      <c r="O588" s="2"/>
      <c r="P588" s="3"/>
      <c r="Q588" s="2"/>
      <c r="R588" s="3"/>
      <c r="S588" s="3"/>
      <c r="T588" s="2"/>
      <c r="U588" s="8">
        <f t="shared" si="74"/>
        <v>0</v>
      </c>
      <c r="V588" s="8"/>
      <c r="W588" s="8"/>
      <c r="X588" s="8"/>
      <c r="Y588" s="8"/>
      <c r="Z588" s="8"/>
      <c r="AA588" s="8"/>
      <c r="AB588" s="8"/>
      <c r="AC588" s="8">
        <f t="shared" si="75"/>
        <v>0</v>
      </c>
      <c r="AD588" s="8"/>
      <c r="AE588" s="8"/>
      <c r="AF588" s="8"/>
      <c r="AG588" s="8"/>
      <c r="AH588" s="8"/>
      <c r="AI588" s="8"/>
      <c r="AJ588" s="8"/>
      <c r="AK588" s="8"/>
      <c r="AL588" s="8"/>
      <c r="AM588" s="8">
        <v>136899585</v>
      </c>
      <c r="AN588" s="8">
        <f t="shared" si="73"/>
        <v>136899585</v>
      </c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>
        <v>65618770</v>
      </c>
      <c r="AZ588" s="8"/>
      <c r="BA588" s="8"/>
      <c r="BB588" s="8"/>
      <c r="BC588" s="8">
        <f t="shared" si="76"/>
        <v>202518355</v>
      </c>
      <c r="BD588" s="4">
        <v>65618770</v>
      </c>
      <c r="BE588" s="4">
        <f t="shared" si="77"/>
        <v>136899585</v>
      </c>
      <c r="BF588" s="30">
        <f t="shared" si="78"/>
        <v>202518355</v>
      </c>
      <c r="BG588" s="18">
        <f t="shared" si="79"/>
        <v>0</v>
      </c>
      <c r="BH588" s="23"/>
      <c r="BI588" s="23"/>
      <c r="BJ588" s="23"/>
    </row>
    <row r="589" spans="1:66" ht="15" customHeight="1" x14ac:dyDescent="0.2">
      <c r="A589" s="1">
        <v>8180009413</v>
      </c>
      <c r="B589" s="1">
        <v>818000941</v>
      </c>
      <c r="C589" s="15">
        <v>212527425</v>
      </c>
      <c r="D589" s="16" t="s">
        <v>582</v>
      </c>
      <c r="E589" s="41" t="s">
        <v>1603</v>
      </c>
      <c r="F589" s="28"/>
      <c r="G589" s="2"/>
      <c r="H589" s="3"/>
      <c r="I589" s="2"/>
      <c r="J589" s="29"/>
      <c r="K589" s="3"/>
      <c r="L589" s="2"/>
      <c r="M589" s="8"/>
      <c r="N589" s="3"/>
      <c r="O589" s="2"/>
      <c r="P589" s="3"/>
      <c r="Q589" s="2"/>
      <c r="R589" s="3"/>
      <c r="S589" s="3"/>
      <c r="T589" s="2"/>
      <c r="U589" s="8">
        <f t="shared" si="74"/>
        <v>0</v>
      </c>
      <c r="V589" s="8"/>
      <c r="W589" s="8"/>
      <c r="X589" s="8"/>
      <c r="Y589" s="8"/>
      <c r="Z589" s="8"/>
      <c r="AA589" s="8"/>
      <c r="AB589" s="8"/>
      <c r="AC589" s="8">
        <f t="shared" si="75"/>
        <v>0</v>
      </c>
      <c r="AD589" s="8"/>
      <c r="AE589" s="8"/>
      <c r="AF589" s="8"/>
      <c r="AG589" s="8"/>
      <c r="AH589" s="8"/>
      <c r="AI589" s="8"/>
      <c r="AJ589" s="8"/>
      <c r="AK589" s="8"/>
      <c r="AL589" s="8"/>
      <c r="AM589" s="8">
        <v>90603830</v>
      </c>
      <c r="AN589" s="8">
        <f t="shared" si="73"/>
        <v>90603830</v>
      </c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>
        <v>134078970</v>
      </c>
      <c r="AZ589" s="8"/>
      <c r="BA589" s="8"/>
      <c r="BB589" s="8"/>
      <c r="BC589" s="8">
        <f t="shared" si="76"/>
        <v>224682800</v>
      </c>
      <c r="BD589" s="4">
        <v>134078970</v>
      </c>
      <c r="BE589" s="4">
        <f t="shared" si="77"/>
        <v>90603830</v>
      </c>
      <c r="BF589" s="30">
        <f t="shared" si="78"/>
        <v>224682800</v>
      </c>
      <c r="BG589" s="18">
        <f t="shared" si="79"/>
        <v>0</v>
      </c>
      <c r="BH589" s="23"/>
      <c r="BI589" s="23"/>
      <c r="BJ589" s="23"/>
    </row>
    <row r="590" spans="1:66" ht="15" customHeight="1" x14ac:dyDescent="0.2">
      <c r="A590" s="1">
        <v>8180009072</v>
      </c>
      <c r="B590" s="1">
        <v>818000907</v>
      </c>
      <c r="C590" s="15">
        <v>213027430</v>
      </c>
      <c r="D590" s="16" t="s">
        <v>583</v>
      </c>
      <c r="E590" s="41" t="s">
        <v>1604</v>
      </c>
      <c r="F590" s="28"/>
      <c r="G590" s="2"/>
      <c r="H590" s="3"/>
      <c r="I590" s="2"/>
      <c r="J590" s="29"/>
      <c r="K590" s="3"/>
      <c r="L590" s="2"/>
      <c r="M590" s="8"/>
      <c r="N590" s="3"/>
      <c r="O590" s="2"/>
      <c r="P590" s="3"/>
      <c r="Q590" s="2"/>
      <c r="R590" s="3"/>
      <c r="S590" s="3"/>
      <c r="T590" s="2"/>
      <c r="U590" s="8">
        <f t="shared" si="74"/>
        <v>0</v>
      </c>
      <c r="V590" s="8"/>
      <c r="W590" s="8"/>
      <c r="X590" s="8"/>
      <c r="Y590" s="8"/>
      <c r="Z590" s="8"/>
      <c r="AA590" s="8"/>
      <c r="AB590" s="8"/>
      <c r="AC590" s="8">
        <f t="shared" si="75"/>
        <v>0</v>
      </c>
      <c r="AD590" s="8"/>
      <c r="AE590" s="8"/>
      <c r="AF590" s="8"/>
      <c r="AG590" s="8"/>
      <c r="AH590" s="8"/>
      <c r="AI590" s="8"/>
      <c r="AJ590" s="8"/>
      <c r="AK590" s="8"/>
      <c r="AL590" s="8"/>
      <c r="AM590" s="8">
        <v>171257044</v>
      </c>
      <c r="AN590" s="8">
        <f t="shared" si="73"/>
        <v>171257044</v>
      </c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>
        <v>206851540</v>
      </c>
      <c r="AZ590" s="8"/>
      <c r="BA590" s="8"/>
      <c r="BB590" s="8"/>
      <c r="BC590" s="8">
        <f t="shared" si="76"/>
        <v>378108584</v>
      </c>
      <c r="BD590" s="4">
        <v>206851540</v>
      </c>
      <c r="BE590" s="4">
        <f t="shared" si="77"/>
        <v>171257044</v>
      </c>
      <c r="BF590" s="30">
        <f t="shared" si="78"/>
        <v>378108584</v>
      </c>
      <c r="BG590" s="18">
        <f t="shared" si="79"/>
        <v>0</v>
      </c>
      <c r="BH590" s="23"/>
      <c r="BI590" s="23"/>
      <c r="BJ590" s="23"/>
    </row>
    <row r="591" spans="1:66" ht="15" customHeight="1" x14ac:dyDescent="0.2">
      <c r="A591" s="1">
        <v>8180012062</v>
      </c>
      <c r="B591" s="1">
        <v>818001206</v>
      </c>
      <c r="C591" s="15">
        <v>215027450</v>
      </c>
      <c r="D591" s="16" t="s">
        <v>584</v>
      </c>
      <c r="E591" s="41" t="s">
        <v>1605</v>
      </c>
      <c r="F591" s="28"/>
      <c r="G591" s="2"/>
      <c r="H591" s="3"/>
      <c r="I591" s="2"/>
      <c r="J591" s="29"/>
      <c r="K591" s="3"/>
      <c r="L591" s="2"/>
      <c r="M591" s="8"/>
      <c r="N591" s="3"/>
      <c r="O591" s="2"/>
      <c r="P591" s="3"/>
      <c r="Q591" s="2"/>
      <c r="R591" s="3"/>
      <c r="S591" s="3"/>
      <c r="T591" s="2"/>
      <c r="U591" s="8">
        <f t="shared" si="74"/>
        <v>0</v>
      </c>
      <c r="V591" s="8"/>
      <c r="W591" s="8"/>
      <c r="X591" s="8"/>
      <c r="Y591" s="8"/>
      <c r="Z591" s="8"/>
      <c r="AA591" s="8"/>
      <c r="AB591" s="8"/>
      <c r="AC591" s="8">
        <f t="shared" si="75"/>
        <v>0</v>
      </c>
      <c r="AD591" s="8"/>
      <c r="AE591" s="8"/>
      <c r="AF591" s="8"/>
      <c r="AG591" s="8"/>
      <c r="AH591" s="8"/>
      <c r="AI591" s="8"/>
      <c r="AJ591" s="8"/>
      <c r="AK591" s="8"/>
      <c r="AL591" s="8"/>
      <c r="AM591" s="8">
        <v>175974659</v>
      </c>
      <c r="AN591" s="8">
        <f t="shared" si="73"/>
        <v>175974659</v>
      </c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>
        <v>106901645</v>
      </c>
      <c r="AZ591" s="8"/>
      <c r="BA591" s="8"/>
      <c r="BB591" s="8"/>
      <c r="BC591" s="8">
        <f t="shared" si="76"/>
        <v>282876304</v>
      </c>
      <c r="BD591" s="4">
        <v>106901645</v>
      </c>
      <c r="BE591" s="4">
        <f t="shared" si="77"/>
        <v>175974659</v>
      </c>
      <c r="BF591" s="30">
        <f t="shared" si="78"/>
        <v>282876304</v>
      </c>
      <c r="BG591" s="18">
        <f t="shared" si="79"/>
        <v>0</v>
      </c>
      <c r="BH591" s="23"/>
      <c r="BI591" s="23"/>
      <c r="BJ591" s="23"/>
    </row>
    <row r="592" spans="1:66" ht="15" customHeight="1" x14ac:dyDescent="0.2">
      <c r="A592" s="1">
        <v>8907019334</v>
      </c>
      <c r="B592" s="1">
        <v>890701933</v>
      </c>
      <c r="C592" s="15">
        <v>214973449</v>
      </c>
      <c r="D592" s="16" t="s">
        <v>2228</v>
      </c>
      <c r="E592" s="41" t="s">
        <v>1953</v>
      </c>
      <c r="F592" s="28"/>
      <c r="G592" s="2"/>
      <c r="H592" s="3"/>
      <c r="I592" s="2"/>
      <c r="J592" s="29"/>
      <c r="K592" s="3"/>
      <c r="L592" s="2"/>
      <c r="M592" s="8"/>
      <c r="N592" s="3"/>
      <c r="O592" s="2"/>
      <c r="P592" s="3"/>
      <c r="Q592" s="2"/>
      <c r="R592" s="3"/>
      <c r="S592" s="3"/>
      <c r="T592" s="2"/>
      <c r="U592" s="8">
        <f t="shared" si="74"/>
        <v>0</v>
      </c>
      <c r="V592" s="8"/>
      <c r="W592" s="8"/>
      <c r="X592" s="8"/>
      <c r="Y592" s="8"/>
      <c r="Z592" s="8"/>
      <c r="AA592" s="8"/>
      <c r="AB592" s="8"/>
      <c r="AC592" s="8">
        <f t="shared" si="75"/>
        <v>0</v>
      </c>
      <c r="AD592" s="8"/>
      <c r="AE592" s="8"/>
      <c r="AF592" s="8"/>
      <c r="AG592" s="8"/>
      <c r="AH592" s="8"/>
      <c r="AI592" s="8"/>
      <c r="AJ592" s="8"/>
      <c r="AK592" s="8"/>
      <c r="AL592" s="8"/>
      <c r="AM592" s="8">
        <v>508005552</v>
      </c>
      <c r="AN592" s="8">
        <f t="shared" si="73"/>
        <v>508005552</v>
      </c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>
        <v>224532155</v>
      </c>
      <c r="AZ592" s="8"/>
      <c r="BA592" s="8"/>
      <c r="BB592" s="8"/>
      <c r="BC592" s="8">
        <f t="shared" si="76"/>
        <v>732537707</v>
      </c>
      <c r="BD592" s="4">
        <v>224532155</v>
      </c>
      <c r="BE592" s="4">
        <f t="shared" si="77"/>
        <v>508005552</v>
      </c>
      <c r="BF592" s="30">
        <f t="shared" si="78"/>
        <v>732537707</v>
      </c>
      <c r="BG592" s="18">
        <f t="shared" si="79"/>
        <v>0</v>
      </c>
      <c r="BH592" s="23"/>
      <c r="BI592" s="23"/>
      <c r="BJ592" s="23"/>
    </row>
    <row r="593" spans="1:66" ht="15" customHeight="1" x14ac:dyDescent="0.2">
      <c r="A593" s="1">
        <v>8915023976</v>
      </c>
      <c r="B593" s="1">
        <v>891502397</v>
      </c>
      <c r="C593" s="15">
        <v>215019450</v>
      </c>
      <c r="D593" s="16" t="s">
        <v>391</v>
      </c>
      <c r="E593" s="41" t="s">
        <v>1420</v>
      </c>
      <c r="F593" s="28"/>
      <c r="G593" s="2"/>
      <c r="H593" s="3"/>
      <c r="I593" s="2"/>
      <c r="J593" s="29"/>
      <c r="K593" s="3"/>
      <c r="L593" s="2"/>
      <c r="M593" s="8"/>
      <c r="N593" s="3"/>
      <c r="O593" s="2"/>
      <c r="P593" s="3"/>
      <c r="Q593" s="2"/>
      <c r="R593" s="3"/>
      <c r="S593" s="3"/>
      <c r="T593" s="2"/>
      <c r="U593" s="8">
        <f t="shared" si="74"/>
        <v>0</v>
      </c>
      <c r="V593" s="8"/>
      <c r="W593" s="8"/>
      <c r="X593" s="8"/>
      <c r="Y593" s="8"/>
      <c r="Z593" s="8"/>
      <c r="AA593" s="8"/>
      <c r="AB593" s="8"/>
      <c r="AC593" s="8">
        <f t="shared" si="75"/>
        <v>0</v>
      </c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>
        <f>VLOOKUP(B593,[1]Hoja3!J$3:K$674,2,0)</f>
        <v>233432446</v>
      </c>
      <c r="BB593" s="8"/>
      <c r="BC593" s="8">
        <f t="shared" si="76"/>
        <v>233432446</v>
      </c>
      <c r="BD593" s="4"/>
      <c r="BE593" s="4">
        <f t="shared" si="77"/>
        <v>233432446</v>
      </c>
      <c r="BF593" s="30">
        <f t="shared" si="78"/>
        <v>233432446</v>
      </c>
      <c r="BG593" s="18">
        <f t="shared" si="79"/>
        <v>0</v>
      </c>
      <c r="BH593" s="23"/>
      <c r="BI593" s="23"/>
      <c r="BJ593" s="23"/>
    </row>
    <row r="594" spans="1:66" ht="15" customHeight="1" x14ac:dyDescent="0.2">
      <c r="A594" s="1">
        <v>8920993171</v>
      </c>
      <c r="B594" s="1">
        <v>892099317</v>
      </c>
      <c r="C594" s="15">
        <v>213050330</v>
      </c>
      <c r="D594" s="16" t="s">
        <v>678</v>
      </c>
      <c r="E594" s="41" t="s">
        <v>1700</v>
      </c>
      <c r="F594" s="28"/>
      <c r="G594" s="2"/>
      <c r="H594" s="3"/>
      <c r="I594" s="2"/>
      <c r="J594" s="29"/>
      <c r="K594" s="3"/>
      <c r="L594" s="2"/>
      <c r="M594" s="8"/>
      <c r="N594" s="3"/>
      <c r="O594" s="2"/>
      <c r="P594" s="3"/>
      <c r="Q594" s="2"/>
      <c r="R594" s="3"/>
      <c r="S594" s="3"/>
      <c r="T594" s="2"/>
      <c r="U594" s="8">
        <f t="shared" si="74"/>
        <v>0</v>
      </c>
      <c r="V594" s="8"/>
      <c r="W594" s="8"/>
      <c r="X594" s="8"/>
      <c r="Y594" s="8"/>
      <c r="Z594" s="8"/>
      <c r="AA594" s="8"/>
      <c r="AB594" s="8"/>
      <c r="AC594" s="8">
        <f t="shared" si="75"/>
        <v>0</v>
      </c>
      <c r="AD594" s="8"/>
      <c r="AE594" s="8"/>
      <c r="AF594" s="8"/>
      <c r="AG594" s="8"/>
      <c r="AH594" s="8"/>
      <c r="AI594" s="8"/>
      <c r="AJ594" s="8"/>
      <c r="AK594" s="8"/>
      <c r="AL594" s="8"/>
      <c r="AM594" s="8">
        <v>57205069</v>
      </c>
      <c r="AN594" s="8">
        <f>SUBTOTAL(9,AC594:AM594)</f>
        <v>57205069</v>
      </c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>
        <f>VLOOKUP(B594,[1]Hoja3!J$3:K$674,2,0)</f>
        <v>75514790</v>
      </c>
      <c r="BB594" s="8"/>
      <c r="BC594" s="8">
        <f t="shared" si="76"/>
        <v>132719859</v>
      </c>
      <c r="BD594" s="4"/>
      <c r="BE594" s="4">
        <f t="shared" si="77"/>
        <v>132719859</v>
      </c>
      <c r="BF594" s="30">
        <f t="shared" si="78"/>
        <v>132719859</v>
      </c>
      <c r="BG594" s="18">
        <f t="shared" si="79"/>
        <v>0</v>
      </c>
      <c r="BH594" s="23"/>
      <c r="BI594" s="23"/>
      <c r="BJ594" s="23"/>
    </row>
    <row r="595" spans="1:66" ht="15" customHeight="1" x14ac:dyDescent="0.2">
      <c r="A595" s="1">
        <v>8000674526</v>
      </c>
      <c r="B595" s="1">
        <v>800067452</v>
      </c>
      <c r="C595" s="15">
        <v>216018460</v>
      </c>
      <c r="D595" s="16" t="s">
        <v>367</v>
      </c>
      <c r="E595" s="41" t="s">
        <v>1397</v>
      </c>
      <c r="F595" s="28"/>
      <c r="G595" s="2"/>
      <c r="H595" s="3"/>
      <c r="I595" s="2"/>
      <c r="J595" s="29"/>
      <c r="K595" s="3"/>
      <c r="L595" s="2"/>
      <c r="M595" s="8"/>
      <c r="N595" s="3"/>
      <c r="O595" s="2"/>
      <c r="P595" s="3"/>
      <c r="Q595" s="2"/>
      <c r="R595" s="3"/>
      <c r="S595" s="3"/>
      <c r="T595" s="2"/>
      <c r="U595" s="8">
        <f t="shared" si="74"/>
        <v>0</v>
      </c>
      <c r="V595" s="8"/>
      <c r="W595" s="8"/>
      <c r="X595" s="8"/>
      <c r="Y595" s="8"/>
      <c r="Z595" s="8"/>
      <c r="AA595" s="8"/>
      <c r="AB595" s="8"/>
      <c r="AC595" s="8">
        <f t="shared" si="75"/>
        <v>0</v>
      </c>
      <c r="AD595" s="8"/>
      <c r="AE595" s="8"/>
      <c r="AF595" s="8"/>
      <c r="AG595" s="8"/>
      <c r="AH595" s="8"/>
      <c r="AI595" s="8"/>
      <c r="AJ595" s="8"/>
      <c r="AK595" s="8"/>
      <c r="AL595" s="8"/>
      <c r="AM595" s="8">
        <v>221468191</v>
      </c>
      <c r="AN595" s="8">
        <f>SUBTOTAL(9,AC595:AM595)</f>
        <v>221468191</v>
      </c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>
        <f t="shared" si="76"/>
        <v>221468191</v>
      </c>
      <c r="BD595" s="4"/>
      <c r="BE595" s="4">
        <f t="shared" si="77"/>
        <v>221468191</v>
      </c>
      <c r="BF595" s="30">
        <f t="shared" si="78"/>
        <v>221468191</v>
      </c>
      <c r="BG595" s="18">
        <f t="shared" si="79"/>
        <v>0</v>
      </c>
      <c r="BH595" s="23"/>
      <c r="BI595" s="23"/>
      <c r="BJ595" s="23"/>
    </row>
    <row r="596" spans="1:66" ht="15" customHeight="1" x14ac:dyDescent="0.2">
      <c r="A596" s="1">
        <v>8000296601</v>
      </c>
      <c r="B596" s="1">
        <v>800029660</v>
      </c>
      <c r="C596" s="15">
        <v>215515455</v>
      </c>
      <c r="D596" s="16" t="s">
        <v>268</v>
      </c>
      <c r="E596" s="41" t="s">
        <v>1302</v>
      </c>
      <c r="F596" s="28"/>
      <c r="G596" s="2"/>
      <c r="H596" s="3"/>
      <c r="I596" s="2"/>
      <c r="J596" s="29"/>
      <c r="K596" s="3"/>
      <c r="L596" s="2"/>
      <c r="M596" s="8"/>
      <c r="N596" s="3"/>
      <c r="O596" s="2"/>
      <c r="P596" s="3"/>
      <c r="Q596" s="2"/>
      <c r="R596" s="3"/>
      <c r="S596" s="3"/>
      <c r="T596" s="2"/>
      <c r="U596" s="8">
        <f t="shared" si="74"/>
        <v>0</v>
      </c>
      <c r="V596" s="8"/>
      <c r="W596" s="8"/>
      <c r="X596" s="8"/>
      <c r="Y596" s="8"/>
      <c r="Z596" s="8"/>
      <c r="AA596" s="8"/>
      <c r="AB596" s="8"/>
      <c r="AC596" s="8">
        <f t="shared" si="75"/>
        <v>0</v>
      </c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>
        <v>59280750</v>
      </c>
      <c r="AZ596" s="8"/>
      <c r="BA596" s="8">
        <f>VLOOKUP(B596,[1]Hoja3!J$3:K$674,2,0)</f>
        <v>108156418</v>
      </c>
      <c r="BB596" s="8"/>
      <c r="BC596" s="8">
        <f t="shared" si="76"/>
        <v>167437168</v>
      </c>
      <c r="BD596" s="4">
        <v>59280750</v>
      </c>
      <c r="BE596" s="4">
        <f t="shared" si="77"/>
        <v>108156418</v>
      </c>
      <c r="BF596" s="30">
        <f t="shared" si="78"/>
        <v>167437168</v>
      </c>
      <c r="BG596" s="18">
        <f t="shared" si="79"/>
        <v>0</v>
      </c>
      <c r="BH596" s="23"/>
      <c r="BI596" s="23"/>
      <c r="BJ596" s="23"/>
    </row>
    <row r="597" spans="1:66" ht="15" customHeight="1" x14ac:dyDescent="0.2">
      <c r="A597" s="1">
        <v>8001031984</v>
      </c>
      <c r="B597" s="1">
        <v>800103198</v>
      </c>
      <c r="C597" s="15">
        <v>210095200</v>
      </c>
      <c r="D597" s="16" t="s">
        <v>993</v>
      </c>
      <c r="E597" s="41" t="s">
        <v>2051</v>
      </c>
      <c r="F597" s="28"/>
      <c r="G597" s="17"/>
      <c r="H597" s="3"/>
      <c r="I597" s="2"/>
      <c r="J597" s="29"/>
      <c r="K597" s="3"/>
      <c r="L597" s="17"/>
      <c r="M597" s="34"/>
      <c r="N597" s="3"/>
      <c r="O597" s="17"/>
      <c r="P597" s="3"/>
      <c r="Q597" s="2"/>
      <c r="R597" s="3"/>
      <c r="S597" s="3"/>
      <c r="T597" s="17"/>
      <c r="U597" s="8">
        <f t="shared" si="74"/>
        <v>0</v>
      </c>
      <c r="V597" s="8"/>
      <c r="W597" s="8"/>
      <c r="X597" s="8"/>
      <c r="Y597" s="8"/>
      <c r="Z597" s="8"/>
      <c r="AA597" s="8"/>
      <c r="AB597" s="8"/>
      <c r="AC597" s="8">
        <f t="shared" si="75"/>
        <v>0</v>
      </c>
      <c r="AD597" s="8"/>
      <c r="AE597" s="8"/>
      <c r="AF597" s="8"/>
      <c r="AG597" s="8"/>
      <c r="AH597" s="8"/>
      <c r="AI597" s="8"/>
      <c r="AJ597" s="8"/>
      <c r="AK597" s="8"/>
      <c r="AL597" s="8"/>
      <c r="AM597" s="8">
        <v>56838817</v>
      </c>
      <c r="AN597" s="8">
        <f>SUBTOTAL(9,AC597:AM597)</f>
        <v>56838817</v>
      </c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>
        <v>58497005</v>
      </c>
      <c r="AZ597" s="8"/>
      <c r="BA597" s="8"/>
      <c r="BB597" s="8"/>
      <c r="BC597" s="8">
        <f t="shared" si="76"/>
        <v>115335822</v>
      </c>
      <c r="BD597" s="4">
        <v>58497005</v>
      </c>
      <c r="BE597" s="4">
        <f t="shared" si="77"/>
        <v>56838817</v>
      </c>
      <c r="BF597" s="30">
        <f t="shared" si="78"/>
        <v>115335822</v>
      </c>
      <c r="BG597" s="18">
        <f t="shared" si="79"/>
        <v>0</v>
      </c>
      <c r="BH597" s="23"/>
      <c r="BI597" s="14"/>
      <c r="BJ597" s="14"/>
      <c r="BK597" s="14"/>
      <c r="BL597" s="14"/>
      <c r="BM597" s="14"/>
      <c r="BN597" s="14"/>
    </row>
    <row r="598" spans="1:66" ht="15" customHeight="1" x14ac:dyDescent="0.2">
      <c r="A598" s="1">
        <v>8915008416</v>
      </c>
      <c r="B598" s="1">
        <v>891500841</v>
      </c>
      <c r="C598" s="15">
        <v>215519455</v>
      </c>
      <c r="D598" s="16" t="s">
        <v>392</v>
      </c>
      <c r="E598" s="41" t="s">
        <v>1421</v>
      </c>
      <c r="F598" s="28"/>
      <c r="G598" s="2"/>
      <c r="H598" s="3"/>
      <c r="I598" s="2"/>
      <c r="J598" s="29"/>
      <c r="K598" s="3"/>
      <c r="L598" s="2"/>
      <c r="M598" s="8"/>
      <c r="N598" s="3"/>
      <c r="O598" s="2"/>
      <c r="P598" s="3"/>
      <c r="Q598" s="2"/>
      <c r="R598" s="3"/>
      <c r="S598" s="3"/>
      <c r="T598" s="2"/>
      <c r="U598" s="8">
        <f t="shared" si="74"/>
        <v>0</v>
      </c>
      <c r="V598" s="8"/>
      <c r="W598" s="8"/>
      <c r="X598" s="8"/>
      <c r="Y598" s="8"/>
      <c r="Z598" s="8"/>
      <c r="AA598" s="8"/>
      <c r="AB598" s="8"/>
      <c r="AC598" s="8">
        <f t="shared" si="75"/>
        <v>0</v>
      </c>
      <c r="AD598" s="8"/>
      <c r="AE598" s="8"/>
      <c r="AF598" s="8"/>
      <c r="AG598" s="8"/>
      <c r="AH598" s="8"/>
      <c r="AI598" s="8"/>
      <c r="AJ598" s="8"/>
      <c r="AK598" s="8"/>
      <c r="AL598" s="8"/>
      <c r="AM598" s="8">
        <v>323408274</v>
      </c>
      <c r="AN598" s="8">
        <f>SUBTOTAL(9,AC598:AM598)</f>
        <v>323408274</v>
      </c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>
        <v>234913255</v>
      </c>
      <c r="AZ598" s="8"/>
      <c r="BA598" s="8">
        <f>VLOOKUP(B598,[1]Hoja3!J$3:K$674,2,0)</f>
        <v>102650177</v>
      </c>
      <c r="BB598" s="8"/>
      <c r="BC598" s="8">
        <f t="shared" si="76"/>
        <v>660971706</v>
      </c>
      <c r="BD598" s="4">
        <v>234913255</v>
      </c>
      <c r="BE598" s="4">
        <f t="shared" si="77"/>
        <v>426058451</v>
      </c>
      <c r="BF598" s="30">
        <f t="shared" si="78"/>
        <v>660971706</v>
      </c>
      <c r="BG598" s="18">
        <f t="shared" si="79"/>
        <v>0</v>
      </c>
      <c r="BH598" s="23"/>
      <c r="BI598" s="23"/>
      <c r="BJ598" s="23"/>
    </row>
    <row r="599" spans="1:66" ht="15" customHeight="1" x14ac:dyDescent="0.2">
      <c r="A599" s="1">
        <v>8000310757</v>
      </c>
      <c r="B599" s="1">
        <v>800031075</v>
      </c>
      <c r="C599" s="15">
        <v>215666456</v>
      </c>
      <c r="D599" s="16" t="s">
        <v>807</v>
      </c>
      <c r="E599" s="41" t="s">
        <v>1825</v>
      </c>
      <c r="F599" s="28"/>
      <c r="G599" s="2"/>
      <c r="H599" s="3"/>
      <c r="I599" s="2"/>
      <c r="J599" s="29"/>
      <c r="K599" s="3"/>
      <c r="L599" s="2"/>
      <c r="M599" s="8"/>
      <c r="N599" s="3"/>
      <c r="O599" s="2"/>
      <c r="P599" s="3"/>
      <c r="Q599" s="2"/>
      <c r="R599" s="3"/>
      <c r="S599" s="3"/>
      <c r="T599" s="2"/>
      <c r="U599" s="8">
        <f t="shared" si="74"/>
        <v>0</v>
      </c>
      <c r="V599" s="8"/>
      <c r="W599" s="8"/>
      <c r="X599" s="8"/>
      <c r="Y599" s="8"/>
      <c r="Z599" s="8"/>
      <c r="AA599" s="8"/>
      <c r="AB599" s="8"/>
      <c r="AC599" s="8">
        <f t="shared" si="75"/>
        <v>0</v>
      </c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>
        <v>133393165</v>
      </c>
      <c r="AZ599" s="8"/>
      <c r="BA599" s="8">
        <f>VLOOKUP(B599,[1]Hoja3!J$3:K$674,2,0)</f>
        <v>279998768</v>
      </c>
      <c r="BB599" s="8"/>
      <c r="BC599" s="8">
        <f t="shared" si="76"/>
        <v>413391933</v>
      </c>
      <c r="BD599" s="4">
        <v>133393165</v>
      </c>
      <c r="BE599" s="4">
        <f t="shared" si="77"/>
        <v>279998768</v>
      </c>
      <c r="BF599" s="30">
        <f t="shared" si="78"/>
        <v>413391933</v>
      </c>
      <c r="BG599" s="18">
        <f t="shared" si="79"/>
        <v>0</v>
      </c>
      <c r="BH599" s="23"/>
      <c r="BI599" s="23"/>
      <c r="BJ599" s="23"/>
    </row>
    <row r="600" spans="1:66" ht="15" customHeight="1" x14ac:dyDescent="0.2">
      <c r="A600" s="1">
        <v>8920992331</v>
      </c>
      <c r="B600" s="1">
        <v>892099233</v>
      </c>
      <c r="C600" s="15">
        <v>210197001</v>
      </c>
      <c r="D600" s="16" t="s">
        <v>994</v>
      </c>
      <c r="E600" s="41" t="s">
        <v>2052</v>
      </c>
      <c r="F600" s="28"/>
      <c r="G600" s="2"/>
      <c r="H600" s="3"/>
      <c r="I600" s="2"/>
      <c r="J600" s="29"/>
      <c r="K600" s="3"/>
      <c r="L600" s="2"/>
      <c r="M600" s="8"/>
      <c r="N600" s="3"/>
      <c r="O600" s="2"/>
      <c r="P600" s="3"/>
      <c r="Q600" s="2"/>
      <c r="R600" s="3"/>
      <c r="S600" s="3"/>
      <c r="T600" s="2"/>
      <c r="U600" s="8">
        <f t="shared" si="74"/>
        <v>0</v>
      </c>
      <c r="V600" s="8"/>
      <c r="W600" s="8"/>
      <c r="X600" s="8"/>
      <c r="Y600" s="8"/>
      <c r="Z600" s="8"/>
      <c r="AA600" s="8"/>
      <c r="AB600" s="8"/>
      <c r="AC600" s="8">
        <f t="shared" si="75"/>
        <v>0</v>
      </c>
      <c r="AD600" s="8"/>
      <c r="AE600" s="8"/>
      <c r="AF600" s="8"/>
      <c r="AG600" s="8"/>
      <c r="AH600" s="8"/>
      <c r="AI600" s="8"/>
      <c r="AJ600" s="8"/>
      <c r="AK600" s="8"/>
      <c r="AL600" s="8"/>
      <c r="AM600" s="8">
        <v>275420881</v>
      </c>
      <c r="AN600" s="8">
        <f>SUBTOTAL(9,AC600:AM600)</f>
        <v>275420881</v>
      </c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>
        <v>290343695</v>
      </c>
      <c r="AZ600" s="8"/>
      <c r="BA600" s="8"/>
      <c r="BB600" s="8"/>
      <c r="BC600" s="8">
        <f t="shared" si="76"/>
        <v>565764576</v>
      </c>
      <c r="BD600" s="4">
        <v>290343695</v>
      </c>
      <c r="BE600" s="4">
        <f t="shared" si="77"/>
        <v>275420881</v>
      </c>
      <c r="BF600" s="30">
        <f t="shared" si="78"/>
        <v>565764576</v>
      </c>
      <c r="BG600" s="18">
        <f t="shared" si="79"/>
        <v>0</v>
      </c>
      <c r="BH600" s="23"/>
      <c r="BI600" s="23"/>
      <c r="BJ600" s="23"/>
    </row>
    <row r="601" spans="1:66" ht="15" customHeight="1" x14ac:dyDescent="0.2">
      <c r="A601" s="1">
        <v>8001028916</v>
      </c>
      <c r="B601" s="1">
        <v>800102891</v>
      </c>
      <c r="C601" s="15">
        <v>210186001</v>
      </c>
      <c r="D601" s="16" t="s">
        <v>974</v>
      </c>
      <c r="E601" s="41" t="s">
        <v>2034</v>
      </c>
      <c r="F601" s="28"/>
      <c r="G601" s="2"/>
      <c r="H601" s="3"/>
      <c r="I601" s="2"/>
      <c r="J601" s="29"/>
      <c r="K601" s="3"/>
      <c r="L601" s="2"/>
      <c r="M601" s="8"/>
      <c r="N601" s="3"/>
      <c r="O601" s="2"/>
      <c r="P601" s="3"/>
      <c r="Q601" s="2"/>
      <c r="R601" s="3"/>
      <c r="S601" s="3"/>
      <c r="T601" s="2"/>
      <c r="U601" s="8">
        <f t="shared" si="74"/>
        <v>0</v>
      </c>
      <c r="V601" s="8"/>
      <c r="W601" s="8"/>
      <c r="X601" s="8"/>
      <c r="Y601" s="8"/>
      <c r="Z601" s="8"/>
      <c r="AA601" s="8"/>
      <c r="AB601" s="8"/>
      <c r="AC601" s="8">
        <f t="shared" si="75"/>
        <v>0</v>
      </c>
      <c r="AD601" s="8"/>
      <c r="AE601" s="8"/>
      <c r="AF601" s="8"/>
      <c r="AG601" s="8"/>
      <c r="AH601" s="8"/>
      <c r="AI601" s="8"/>
      <c r="AJ601" s="8"/>
      <c r="AK601" s="8"/>
      <c r="AL601" s="8"/>
      <c r="AM601" s="8">
        <v>619543596</v>
      </c>
      <c r="AN601" s="8">
        <f>SUBTOTAL(9,AC601:AM601)</f>
        <v>619543596</v>
      </c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>
        <v>280060440</v>
      </c>
      <c r="AZ601" s="8"/>
      <c r="BA601" s="8">
        <f>VLOOKUP(B601,[1]Hoja3!J$3:K$674,2,0)</f>
        <v>155493061</v>
      </c>
      <c r="BB601" s="8"/>
      <c r="BC601" s="8">
        <f t="shared" si="76"/>
        <v>1055097097</v>
      </c>
      <c r="BD601" s="4">
        <v>280060440</v>
      </c>
      <c r="BE601" s="4">
        <f t="shared" si="77"/>
        <v>775036657</v>
      </c>
      <c r="BF601" s="30">
        <f t="shared" si="78"/>
        <v>1055097097</v>
      </c>
      <c r="BG601" s="18">
        <f t="shared" si="79"/>
        <v>0</v>
      </c>
      <c r="BH601" s="23"/>
      <c r="BI601" s="23"/>
      <c r="BJ601" s="23"/>
    </row>
    <row r="602" spans="1:66" ht="15" customHeight="1" x14ac:dyDescent="0.2">
      <c r="A602" s="1">
        <v>8902056325</v>
      </c>
      <c r="B602" s="1">
        <v>890205632</v>
      </c>
      <c r="C602" s="15">
        <v>216468464</v>
      </c>
      <c r="D602" s="16" t="s">
        <v>858</v>
      </c>
      <c r="E602" s="41" t="s">
        <v>1873</v>
      </c>
      <c r="F602" s="28"/>
      <c r="G602" s="2"/>
      <c r="H602" s="3"/>
      <c r="I602" s="2"/>
      <c r="J602" s="29"/>
      <c r="K602" s="3"/>
      <c r="L602" s="2"/>
      <c r="M602" s="8"/>
      <c r="N602" s="3"/>
      <c r="O602" s="2"/>
      <c r="P602" s="3"/>
      <c r="Q602" s="2"/>
      <c r="R602" s="3"/>
      <c r="S602" s="3"/>
      <c r="T602" s="2"/>
      <c r="U602" s="8">
        <f t="shared" si="74"/>
        <v>0</v>
      </c>
      <c r="V602" s="8"/>
      <c r="W602" s="8"/>
      <c r="X602" s="8"/>
      <c r="Y602" s="8"/>
      <c r="Z602" s="8"/>
      <c r="AA602" s="8"/>
      <c r="AB602" s="8"/>
      <c r="AC602" s="8">
        <f t="shared" si="75"/>
        <v>0</v>
      </c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>
        <v>85683590</v>
      </c>
      <c r="AZ602" s="8"/>
      <c r="BA602" s="8">
        <f>VLOOKUP(B602,[1]Hoja3!J$3:K$674,2,0)</f>
        <v>174003120</v>
      </c>
      <c r="BB602" s="8"/>
      <c r="BC602" s="8">
        <f t="shared" si="76"/>
        <v>259686710</v>
      </c>
      <c r="BD602" s="4">
        <v>85683590</v>
      </c>
      <c r="BE602" s="4">
        <f t="shared" si="77"/>
        <v>174003120</v>
      </c>
      <c r="BF602" s="30">
        <f t="shared" si="78"/>
        <v>259686710</v>
      </c>
      <c r="BG602" s="18">
        <f t="shared" si="79"/>
        <v>0</v>
      </c>
      <c r="BH602" s="23"/>
      <c r="BI602" s="23"/>
      <c r="BJ602" s="23"/>
    </row>
    <row r="603" spans="1:66" ht="15" customHeight="1" x14ac:dyDescent="0.2">
      <c r="A603" s="1">
        <v>8902053266</v>
      </c>
      <c r="B603" s="1">
        <v>890205326</v>
      </c>
      <c r="C603" s="15">
        <v>216868468</v>
      </c>
      <c r="D603" s="16" t="s">
        <v>859</v>
      </c>
      <c r="E603" s="41" t="s">
        <v>2088</v>
      </c>
      <c r="F603" s="28"/>
      <c r="G603" s="2"/>
      <c r="H603" s="3"/>
      <c r="I603" s="2"/>
      <c r="J603" s="29"/>
      <c r="K603" s="3"/>
      <c r="L603" s="2"/>
      <c r="M603" s="8"/>
      <c r="N603" s="3"/>
      <c r="O603" s="2"/>
      <c r="P603" s="3"/>
      <c r="Q603" s="2"/>
      <c r="R603" s="3"/>
      <c r="S603" s="3"/>
      <c r="T603" s="2"/>
      <c r="U603" s="8">
        <f t="shared" si="74"/>
        <v>0</v>
      </c>
      <c r="V603" s="8"/>
      <c r="W603" s="8"/>
      <c r="X603" s="8"/>
      <c r="Y603" s="8"/>
      <c r="Z603" s="8"/>
      <c r="AA603" s="8"/>
      <c r="AB603" s="8"/>
      <c r="AC603" s="8">
        <f t="shared" si="75"/>
        <v>0</v>
      </c>
      <c r="AD603" s="8"/>
      <c r="AE603" s="8"/>
      <c r="AF603" s="8"/>
      <c r="AG603" s="8"/>
      <c r="AH603" s="8"/>
      <c r="AI603" s="8"/>
      <c r="AJ603" s="8"/>
      <c r="AK603" s="8"/>
      <c r="AL603" s="8"/>
      <c r="AM603" s="8">
        <v>33956926</v>
      </c>
      <c r="AN603" s="8">
        <f>SUBTOTAL(9,AC603:AM603)</f>
        <v>33956926</v>
      </c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>
        <v>27520835</v>
      </c>
      <c r="AZ603" s="8"/>
      <c r="BA603" s="8">
        <f>VLOOKUP(B603,[1]Hoja3!J$3:K$674,2,0)</f>
        <v>29358957</v>
      </c>
      <c r="BB603" s="8"/>
      <c r="BC603" s="8">
        <f t="shared" si="76"/>
        <v>90836718</v>
      </c>
      <c r="BD603" s="4">
        <v>27520835</v>
      </c>
      <c r="BE603" s="4">
        <f t="shared" si="77"/>
        <v>63315883</v>
      </c>
      <c r="BF603" s="30">
        <f t="shared" si="78"/>
        <v>90836718</v>
      </c>
      <c r="BG603" s="18">
        <f t="shared" si="79"/>
        <v>0</v>
      </c>
      <c r="BH603" s="23"/>
      <c r="BI603" s="23"/>
      <c r="BJ603" s="23"/>
    </row>
    <row r="604" spans="1:66" ht="15" customHeight="1" x14ac:dyDescent="0.2">
      <c r="A604" s="1">
        <v>8000967628</v>
      </c>
      <c r="B604" s="1">
        <v>800096762</v>
      </c>
      <c r="C604" s="15">
        <v>216423464</v>
      </c>
      <c r="D604" s="16" t="s">
        <v>447</v>
      </c>
      <c r="E604" s="41" t="s">
        <v>1474</v>
      </c>
      <c r="F604" s="28"/>
      <c r="G604" s="2"/>
      <c r="H604" s="3"/>
      <c r="I604" s="2"/>
      <c r="J604" s="29"/>
      <c r="K604" s="3"/>
      <c r="L604" s="2"/>
      <c r="M604" s="8"/>
      <c r="N604" s="3"/>
      <c r="O604" s="2"/>
      <c r="P604" s="3"/>
      <c r="Q604" s="2"/>
      <c r="R604" s="3"/>
      <c r="S604" s="3"/>
      <c r="T604" s="2"/>
      <c r="U604" s="8">
        <f t="shared" si="74"/>
        <v>0</v>
      </c>
      <c r="V604" s="8"/>
      <c r="W604" s="8"/>
      <c r="X604" s="8"/>
      <c r="Y604" s="8"/>
      <c r="Z604" s="8"/>
      <c r="AA604" s="8"/>
      <c r="AB604" s="8"/>
      <c r="AC604" s="8">
        <f t="shared" si="75"/>
        <v>0</v>
      </c>
      <c r="AD604" s="8"/>
      <c r="AE604" s="8"/>
      <c r="AF604" s="8"/>
      <c r="AG604" s="8"/>
      <c r="AH604" s="8"/>
      <c r="AI604" s="8"/>
      <c r="AJ604" s="8"/>
      <c r="AK604" s="8"/>
      <c r="AL604" s="8"/>
      <c r="AM604" s="8">
        <v>227193014</v>
      </c>
      <c r="AN604" s="8">
        <f>SUBTOTAL(9,AC604:AM604)</f>
        <v>227193014</v>
      </c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>
        <v>174161355</v>
      </c>
      <c r="AZ604" s="8"/>
      <c r="BA604" s="8"/>
      <c r="BB604" s="8"/>
      <c r="BC604" s="8">
        <f t="shared" si="76"/>
        <v>401354369</v>
      </c>
      <c r="BD604" s="4">
        <v>174161355</v>
      </c>
      <c r="BE604" s="4">
        <f t="shared" si="77"/>
        <v>227193014</v>
      </c>
      <c r="BF604" s="30">
        <f t="shared" si="78"/>
        <v>401354369</v>
      </c>
      <c r="BG604" s="18">
        <f t="shared" si="79"/>
        <v>0</v>
      </c>
      <c r="BH604" s="23"/>
      <c r="BI604" s="23"/>
      <c r="BJ604" s="23"/>
    </row>
    <row r="605" spans="1:66" ht="15" customHeight="1" x14ac:dyDescent="0.2">
      <c r="A605" s="1">
        <v>8904806433</v>
      </c>
      <c r="B605" s="1">
        <v>890480643</v>
      </c>
      <c r="C605" s="15">
        <v>216813468</v>
      </c>
      <c r="D605" s="16" t="s">
        <v>198</v>
      </c>
      <c r="E605" s="41" t="s">
        <v>1229</v>
      </c>
      <c r="F605" s="28"/>
      <c r="G605" s="17"/>
      <c r="H605" s="3"/>
      <c r="I605" s="2"/>
      <c r="J605" s="29"/>
      <c r="K605" s="3"/>
      <c r="L605" s="17"/>
      <c r="M605" s="34"/>
      <c r="N605" s="3"/>
      <c r="O605" s="17"/>
      <c r="P605" s="3"/>
      <c r="Q605" s="2"/>
      <c r="R605" s="3"/>
      <c r="S605" s="3"/>
      <c r="T605" s="17"/>
      <c r="U605" s="8">
        <f t="shared" si="74"/>
        <v>0</v>
      </c>
      <c r="V605" s="8"/>
      <c r="W605" s="8"/>
      <c r="X605" s="8"/>
      <c r="Y605" s="8"/>
      <c r="Z605" s="8"/>
      <c r="AA605" s="8"/>
      <c r="AB605" s="8"/>
      <c r="AC605" s="8">
        <f t="shared" si="75"/>
        <v>0</v>
      </c>
      <c r="AD605" s="8"/>
      <c r="AE605" s="8"/>
      <c r="AF605" s="8"/>
      <c r="AG605" s="8"/>
      <c r="AH605" s="8"/>
      <c r="AI605" s="8"/>
      <c r="AJ605" s="8"/>
      <c r="AK605" s="8"/>
      <c r="AL605" s="8"/>
      <c r="AM605" s="8">
        <v>744438989</v>
      </c>
      <c r="AN605" s="8">
        <f>SUBTOTAL(9,AC605:AM605)</f>
        <v>744438989</v>
      </c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>
        <f>VLOOKUP(B605,[1]Hoja3!J$3:K$674,2,0)</f>
        <v>118392616</v>
      </c>
      <c r="BB605" s="8">
        <f>VLOOKUP(B605,'[2]anuladas en mayo gratuidad}'!K$2:L$55,2,0)</f>
        <v>73892793</v>
      </c>
      <c r="BC605" s="8">
        <f t="shared" si="76"/>
        <v>788938812</v>
      </c>
      <c r="BD605" s="4"/>
      <c r="BE605" s="4">
        <f t="shared" si="77"/>
        <v>788938812</v>
      </c>
      <c r="BF605" s="30">
        <f t="shared" si="78"/>
        <v>788938812</v>
      </c>
      <c r="BG605" s="18">
        <f t="shared" si="79"/>
        <v>0</v>
      </c>
      <c r="BH605" s="23"/>
      <c r="BI605" s="14"/>
      <c r="BJ605" s="14"/>
      <c r="BK605" s="14"/>
      <c r="BL605" s="14"/>
      <c r="BM605" s="14"/>
      <c r="BN605" s="14"/>
    </row>
    <row r="606" spans="1:66" ht="15" customHeight="1" x14ac:dyDescent="0.2">
      <c r="A606" s="1">
        <v>8918557357</v>
      </c>
      <c r="B606" s="1">
        <v>891855735</v>
      </c>
      <c r="C606" s="15">
        <v>216415464</v>
      </c>
      <c r="D606" s="16" t="s">
        <v>269</v>
      </c>
      <c r="E606" s="41" t="s">
        <v>1303</v>
      </c>
      <c r="F606" s="28"/>
      <c r="G606" s="17"/>
      <c r="H606" s="3"/>
      <c r="I606" s="2"/>
      <c r="J606" s="29"/>
      <c r="K606" s="3"/>
      <c r="L606" s="17"/>
      <c r="M606" s="34"/>
      <c r="N606" s="3"/>
      <c r="O606" s="17"/>
      <c r="P606" s="3"/>
      <c r="Q606" s="2"/>
      <c r="R606" s="3"/>
      <c r="S606" s="3"/>
      <c r="T606" s="17"/>
      <c r="U606" s="8">
        <f t="shared" si="74"/>
        <v>0</v>
      </c>
      <c r="V606" s="8"/>
      <c r="W606" s="8"/>
      <c r="X606" s="8"/>
      <c r="Y606" s="8"/>
      <c r="Z606" s="8"/>
      <c r="AA606" s="8"/>
      <c r="AB606" s="8"/>
      <c r="AC606" s="8">
        <f t="shared" si="75"/>
        <v>0</v>
      </c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>
        <v>34646055</v>
      </c>
      <c r="AZ606" s="8"/>
      <c r="BA606" s="8">
        <f>VLOOKUP(B606,[1]Hoja3!J$3:K$674,2,0)</f>
        <v>71127074</v>
      </c>
      <c r="BB606" s="8"/>
      <c r="BC606" s="8">
        <f t="shared" si="76"/>
        <v>105773129</v>
      </c>
      <c r="BD606" s="4">
        <v>34646055</v>
      </c>
      <c r="BE606" s="4">
        <f t="shared" si="77"/>
        <v>71127074</v>
      </c>
      <c r="BF606" s="30">
        <f t="shared" si="78"/>
        <v>105773129</v>
      </c>
      <c r="BG606" s="18">
        <f t="shared" si="79"/>
        <v>0</v>
      </c>
      <c r="BH606" s="23"/>
      <c r="BI606" s="14"/>
      <c r="BJ606" s="14"/>
      <c r="BK606" s="14"/>
      <c r="BL606" s="14"/>
      <c r="BM606" s="14"/>
      <c r="BN606" s="14"/>
    </row>
    <row r="607" spans="1:66" ht="15" customHeight="1" x14ac:dyDescent="0.2">
      <c r="A607" s="1">
        <v>8918565552</v>
      </c>
      <c r="B607" s="1">
        <v>891856555</v>
      </c>
      <c r="C607" s="15">
        <v>216615466</v>
      </c>
      <c r="D607" s="16" t="s">
        <v>270</v>
      </c>
      <c r="E607" s="41" t="s">
        <v>1304</v>
      </c>
      <c r="F607" s="28"/>
      <c r="G607" s="17"/>
      <c r="H607" s="3"/>
      <c r="I607" s="2"/>
      <c r="J607" s="29"/>
      <c r="K607" s="3"/>
      <c r="L607" s="17"/>
      <c r="M607" s="34"/>
      <c r="N607" s="3"/>
      <c r="O607" s="17"/>
      <c r="P607" s="3"/>
      <c r="Q607" s="2"/>
      <c r="R607" s="3"/>
      <c r="S607" s="3"/>
      <c r="T607" s="17"/>
      <c r="U607" s="8">
        <f t="shared" si="74"/>
        <v>0</v>
      </c>
      <c r="V607" s="8"/>
      <c r="W607" s="8"/>
      <c r="X607" s="8"/>
      <c r="Y607" s="8"/>
      <c r="Z607" s="8"/>
      <c r="AA607" s="8"/>
      <c r="AB607" s="8"/>
      <c r="AC607" s="8">
        <f t="shared" si="75"/>
        <v>0</v>
      </c>
      <c r="AD607" s="8"/>
      <c r="AE607" s="8"/>
      <c r="AF607" s="8"/>
      <c r="AG607" s="8"/>
      <c r="AH607" s="8"/>
      <c r="AI607" s="8"/>
      <c r="AJ607" s="8"/>
      <c r="AK607" s="8"/>
      <c r="AL607" s="8"/>
      <c r="AM607" s="8">
        <v>27460881</v>
      </c>
      <c r="AN607" s="8">
        <f>SUBTOTAL(9,AC607:AM607)</f>
        <v>27460881</v>
      </c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>
        <v>38207910</v>
      </c>
      <c r="AZ607" s="8"/>
      <c r="BA607" s="8">
        <f>VLOOKUP(B607,[1]Hoja3!J$3:K$674,2,0)</f>
        <v>43384002</v>
      </c>
      <c r="BB607" s="8"/>
      <c r="BC607" s="8">
        <f t="shared" si="76"/>
        <v>109052793</v>
      </c>
      <c r="BD607" s="4">
        <v>38207910</v>
      </c>
      <c r="BE607" s="4">
        <f t="shared" si="77"/>
        <v>70844883</v>
      </c>
      <c r="BF607" s="30">
        <f t="shared" si="78"/>
        <v>109052793</v>
      </c>
      <c r="BG607" s="18">
        <f t="shared" si="79"/>
        <v>0</v>
      </c>
      <c r="BH607" s="23"/>
      <c r="BI607" s="14"/>
      <c r="BJ607" s="14"/>
      <c r="BK607" s="14"/>
      <c r="BL607" s="14"/>
      <c r="BM607" s="14"/>
      <c r="BN607" s="14"/>
    </row>
    <row r="608" spans="1:66" ht="15" customHeight="1" x14ac:dyDescent="0.2">
      <c r="A608" s="1">
        <v>8000996623</v>
      </c>
      <c r="B608" s="1">
        <v>800099662</v>
      </c>
      <c r="C608" s="15">
        <v>216915469</v>
      </c>
      <c r="D608" s="16" t="s">
        <v>271</v>
      </c>
      <c r="E608" s="41" t="s">
        <v>1305</v>
      </c>
      <c r="F608" s="28"/>
      <c r="G608" s="17"/>
      <c r="H608" s="3"/>
      <c r="I608" s="2"/>
      <c r="J608" s="29"/>
      <c r="K608" s="3"/>
      <c r="L608" s="17"/>
      <c r="M608" s="34"/>
      <c r="N608" s="3"/>
      <c r="O608" s="17"/>
      <c r="P608" s="3"/>
      <c r="Q608" s="2"/>
      <c r="R608" s="3"/>
      <c r="S608" s="3"/>
      <c r="T608" s="17"/>
      <c r="U608" s="8">
        <f t="shared" si="74"/>
        <v>0</v>
      </c>
      <c r="V608" s="8"/>
      <c r="W608" s="8"/>
      <c r="X608" s="8"/>
      <c r="Y608" s="8"/>
      <c r="Z608" s="8"/>
      <c r="AA608" s="8"/>
      <c r="AB608" s="8"/>
      <c r="AC608" s="8">
        <f t="shared" si="75"/>
        <v>0</v>
      </c>
      <c r="AD608" s="8"/>
      <c r="AE608" s="8"/>
      <c r="AF608" s="8"/>
      <c r="AG608" s="8"/>
      <c r="AH608" s="8"/>
      <c r="AI608" s="8"/>
      <c r="AJ608" s="8"/>
      <c r="AK608" s="8"/>
      <c r="AL608" s="8"/>
      <c r="AM608" s="8">
        <v>26072407</v>
      </c>
      <c r="AN608" s="8">
        <f>SUBTOTAL(9,AC608:AM608)</f>
        <v>26072407</v>
      </c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>
        <v>152485565</v>
      </c>
      <c r="AZ608" s="8"/>
      <c r="BA608" s="8">
        <f>VLOOKUP(B608,[1]Hoja3!J$3:K$674,2,0)</f>
        <v>333082281</v>
      </c>
      <c r="BB608" s="8"/>
      <c r="BC608" s="8">
        <f t="shared" si="76"/>
        <v>511640253</v>
      </c>
      <c r="BD608" s="4">
        <v>152485565</v>
      </c>
      <c r="BE608" s="4">
        <f t="shared" si="77"/>
        <v>359154688</v>
      </c>
      <c r="BF608" s="30">
        <f t="shared" si="78"/>
        <v>511640253</v>
      </c>
      <c r="BG608" s="18">
        <f t="shared" si="79"/>
        <v>0</v>
      </c>
      <c r="BH608" s="23"/>
      <c r="BI608" s="14"/>
      <c r="BJ608" s="14"/>
      <c r="BK608" s="14"/>
      <c r="BL608" s="14"/>
      <c r="BM608" s="14"/>
      <c r="BN608" s="14"/>
    </row>
    <row r="609" spans="1:66" ht="15" customHeight="1" x14ac:dyDescent="0.2">
      <c r="A609" s="1">
        <v>8909811156</v>
      </c>
      <c r="B609" s="1">
        <v>890981115</v>
      </c>
      <c r="C609" s="15">
        <v>216705467</v>
      </c>
      <c r="D609" s="16" t="s">
        <v>108</v>
      </c>
      <c r="E609" s="41" t="s">
        <v>1139</v>
      </c>
      <c r="F609" s="28"/>
      <c r="G609" s="2"/>
      <c r="H609" s="3"/>
      <c r="I609" s="2"/>
      <c r="J609" s="29"/>
      <c r="K609" s="3"/>
      <c r="L609" s="2"/>
      <c r="M609" s="8"/>
      <c r="N609" s="3"/>
      <c r="O609" s="2"/>
      <c r="P609" s="3"/>
      <c r="Q609" s="2"/>
      <c r="R609" s="3"/>
      <c r="S609" s="3"/>
      <c r="T609" s="2"/>
      <c r="U609" s="8">
        <f t="shared" si="74"/>
        <v>0</v>
      </c>
      <c r="V609" s="8"/>
      <c r="W609" s="8"/>
      <c r="X609" s="8"/>
      <c r="Y609" s="8"/>
      <c r="Z609" s="8"/>
      <c r="AA609" s="8"/>
      <c r="AB609" s="8"/>
      <c r="AC609" s="8">
        <f t="shared" si="75"/>
        <v>0</v>
      </c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>
        <v>36411565</v>
      </c>
      <c r="AZ609" s="8"/>
      <c r="BA609" s="8">
        <f>VLOOKUP(B609,[1]Hoja3!J$3:K$674,2,0)</f>
        <v>75997856</v>
      </c>
      <c r="BB609" s="8"/>
      <c r="BC609" s="8">
        <f t="shared" si="76"/>
        <v>112409421</v>
      </c>
      <c r="BD609" s="4">
        <v>36411565</v>
      </c>
      <c r="BE609" s="4">
        <f t="shared" si="77"/>
        <v>75997856</v>
      </c>
      <c r="BF609" s="30">
        <f t="shared" si="78"/>
        <v>112409421</v>
      </c>
      <c r="BG609" s="18">
        <f t="shared" si="79"/>
        <v>0</v>
      </c>
      <c r="BH609" s="23"/>
      <c r="BI609" s="23"/>
      <c r="BJ609" s="23"/>
    </row>
    <row r="610" spans="1:66" ht="15" hidden="1" customHeight="1" x14ac:dyDescent="0.2">
      <c r="A610" s="1">
        <v>8002547221</v>
      </c>
      <c r="B610" s="1">
        <v>800254722</v>
      </c>
      <c r="C610" s="15">
        <v>215813458</v>
      </c>
      <c r="D610" s="16" t="s">
        <v>197</v>
      </c>
      <c r="E610" s="41" t="s">
        <v>1228</v>
      </c>
      <c r="F610" s="28"/>
      <c r="G610" s="17"/>
      <c r="H610" s="3"/>
      <c r="I610" s="2"/>
      <c r="J610" s="29"/>
      <c r="K610" s="3"/>
      <c r="L610" s="17"/>
      <c r="M610" s="34"/>
      <c r="N610" s="3"/>
      <c r="O610" s="17"/>
      <c r="P610" s="3"/>
      <c r="Q610" s="2"/>
      <c r="R610" s="3"/>
      <c r="S610" s="3"/>
      <c r="T610" s="17"/>
      <c r="U610" s="8">
        <f t="shared" si="74"/>
        <v>0</v>
      </c>
      <c r="V610" s="8"/>
      <c r="W610" s="8"/>
      <c r="X610" s="8"/>
      <c r="Y610" s="8"/>
      <c r="Z610" s="8"/>
      <c r="AA610" s="8"/>
      <c r="AB610" s="8"/>
      <c r="AC610" s="8">
        <f t="shared" si="75"/>
        <v>0</v>
      </c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>
        <f t="shared" si="76"/>
        <v>0</v>
      </c>
      <c r="BD610" s="4"/>
      <c r="BE610" s="4">
        <f t="shared" si="77"/>
        <v>0</v>
      </c>
      <c r="BF610" s="30">
        <f t="shared" si="78"/>
        <v>0</v>
      </c>
      <c r="BG610" s="18">
        <f t="shared" si="79"/>
        <v>0</v>
      </c>
      <c r="BH610" s="23"/>
      <c r="BI610" s="14"/>
      <c r="BJ610" s="14"/>
      <c r="BK610" s="14"/>
      <c r="BL610" s="14"/>
      <c r="BM610" s="14"/>
      <c r="BN610" s="14"/>
    </row>
    <row r="611" spans="1:66" ht="15" customHeight="1" x14ac:dyDescent="0.2">
      <c r="A611" s="1">
        <v>8000967635</v>
      </c>
      <c r="B611" s="1">
        <v>800096763</v>
      </c>
      <c r="C611" s="15">
        <v>216623466</v>
      </c>
      <c r="D611" s="16" t="s">
        <v>448</v>
      </c>
      <c r="E611" s="41" t="s">
        <v>1475</v>
      </c>
      <c r="F611" s="28"/>
      <c r="G611" s="2"/>
      <c r="H611" s="3"/>
      <c r="I611" s="2"/>
      <c r="J611" s="29"/>
      <c r="K611" s="3"/>
      <c r="L611" s="2"/>
      <c r="M611" s="8"/>
      <c r="N611" s="3"/>
      <c r="O611" s="2"/>
      <c r="P611" s="3"/>
      <c r="Q611" s="2"/>
      <c r="R611" s="3"/>
      <c r="S611" s="3"/>
      <c r="T611" s="2"/>
      <c r="U611" s="8">
        <f t="shared" si="74"/>
        <v>0</v>
      </c>
      <c r="V611" s="8"/>
      <c r="W611" s="8"/>
      <c r="X611" s="8"/>
      <c r="Y611" s="8"/>
      <c r="Z611" s="8"/>
      <c r="AA611" s="8"/>
      <c r="AB611" s="8"/>
      <c r="AC611" s="8">
        <f t="shared" si="75"/>
        <v>0</v>
      </c>
      <c r="AD611" s="8"/>
      <c r="AE611" s="8"/>
      <c r="AF611" s="8"/>
      <c r="AG611" s="8"/>
      <c r="AH611" s="8"/>
      <c r="AI611" s="8"/>
      <c r="AJ611" s="8"/>
      <c r="AK611" s="8"/>
      <c r="AL611" s="8"/>
      <c r="AM611" s="8">
        <v>1247020128</v>
      </c>
      <c r="AN611" s="8">
        <f t="shared" ref="AN611:AN624" si="80">SUBTOTAL(9,AC611:AM611)</f>
        <v>1247020128</v>
      </c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>
        <v>650999660</v>
      </c>
      <c r="AZ611" s="8"/>
      <c r="BA611" s="8"/>
      <c r="BB611" s="8"/>
      <c r="BC611" s="8">
        <f t="shared" si="76"/>
        <v>1898019788</v>
      </c>
      <c r="BD611" s="4">
        <v>650999660</v>
      </c>
      <c r="BE611" s="4">
        <f t="shared" si="77"/>
        <v>1247020128</v>
      </c>
      <c r="BF611" s="30">
        <f t="shared" si="78"/>
        <v>1898019788</v>
      </c>
      <c r="BG611" s="18">
        <f t="shared" si="79"/>
        <v>0</v>
      </c>
      <c r="BH611" s="23"/>
      <c r="BI611" s="23"/>
      <c r="BJ611" s="23"/>
    </row>
    <row r="612" spans="1:66" ht="15" customHeight="1" x14ac:dyDescent="0.2">
      <c r="A612" s="1">
        <v>8900008581</v>
      </c>
      <c r="B612" s="1">
        <v>890000858</v>
      </c>
      <c r="C612" s="15">
        <v>217063470</v>
      </c>
      <c r="D612" s="16" t="s">
        <v>796</v>
      </c>
      <c r="E612" s="41" t="s">
        <v>1814</v>
      </c>
      <c r="F612" s="28"/>
      <c r="G612" s="2"/>
      <c r="H612" s="3"/>
      <c r="I612" s="2"/>
      <c r="J612" s="29"/>
      <c r="K612" s="3"/>
      <c r="L612" s="2"/>
      <c r="M612" s="8"/>
      <c r="N612" s="3"/>
      <c r="O612" s="2"/>
      <c r="P612" s="3"/>
      <c r="Q612" s="2"/>
      <c r="R612" s="3"/>
      <c r="S612" s="3"/>
      <c r="T612" s="2"/>
      <c r="U612" s="8">
        <f t="shared" si="74"/>
        <v>0</v>
      </c>
      <c r="V612" s="8"/>
      <c r="W612" s="8"/>
      <c r="X612" s="8"/>
      <c r="Y612" s="8"/>
      <c r="Z612" s="8"/>
      <c r="AA612" s="8"/>
      <c r="AB612" s="8"/>
      <c r="AC612" s="8">
        <f t="shared" si="75"/>
        <v>0</v>
      </c>
      <c r="AD612" s="8"/>
      <c r="AE612" s="8"/>
      <c r="AF612" s="8"/>
      <c r="AG612" s="8"/>
      <c r="AH612" s="8"/>
      <c r="AI612" s="8"/>
      <c r="AJ612" s="8"/>
      <c r="AK612" s="8"/>
      <c r="AL612" s="8"/>
      <c r="AM612" s="8">
        <v>372650340</v>
      </c>
      <c r="AN612" s="8">
        <f t="shared" si="80"/>
        <v>372650340</v>
      </c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>
        <v>275087290</v>
      </c>
      <c r="AZ612" s="8"/>
      <c r="BA612" s="8">
        <f>VLOOKUP(B612,[1]Hoja3!J$3:K$674,2,0)</f>
        <v>68765582</v>
      </c>
      <c r="BB612" s="8"/>
      <c r="BC612" s="8">
        <f t="shared" si="76"/>
        <v>716503212</v>
      </c>
      <c r="BD612" s="4">
        <v>275087290</v>
      </c>
      <c r="BE612" s="4">
        <f t="shared" si="77"/>
        <v>441415922</v>
      </c>
      <c r="BF612" s="30">
        <f t="shared" si="78"/>
        <v>716503212</v>
      </c>
      <c r="BG612" s="18">
        <f t="shared" si="79"/>
        <v>0</v>
      </c>
      <c r="BH612" s="23"/>
      <c r="BI612" s="23"/>
      <c r="BJ612" s="23"/>
    </row>
    <row r="613" spans="1:66" ht="15" customHeight="1" x14ac:dyDescent="0.2">
      <c r="A613" s="1">
        <v>8000967341</v>
      </c>
      <c r="B613" s="1">
        <v>800096734</v>
      </c>
      <c r="C613" s="15">
        <v>210123001</v>
      </c>
      <c r="D613" s="16" t="s">
        <v>2179</v>
      </c>
      <c r="E613" s="53" t="s">
        <v>1016</v>
      </c>
      <c r="F613" s="28"/>
      <c r="G613" s="2"/>
      <c r="H613" s="3"/>
      <c r="I613" s="2">
        <f>12579899415+171766845</f>
        <v>12751666260</v>
      </c>
      <c r="J613" s="29">
        <v>826381946</v>
      </c>
      <c r="K613" s="3">
        <v>1654542213</v>
      </c>
      <c r="L613" s="2"/>
      <c r="M613" s="37">
        <f>SUM(F613:L613)</f>
        <v>15232590419</v>
      </c>
      <c r="N613" s="3"/>
      <c r="O613" s="2"/>
      <c r="P613" s="3"/>
      <c r="Q613" s="2">
        <f>12199472458+78075839</f>
        <v>12277548297</v>
      </c>
      <c r="R613" s="3">
        <v>826560355</v>
      </c>
      <c r="S613" s="3">
        <f>828160267+826560355</f>
        <v>1654720622</v>
      </c>
      <c r="T613" s="2"/>
      <c r="U613" s="8">
        <f t="shared" si="74"/>
        <v>29991419693</v>
      </c>
      <c r="V613" s="8"/>
      <c r="W613" s="8"/>
      <c r="X613" s="8"/>
      <c r="Y613" s="8">
        <v>16775162672</v>
      </c>
      <c r="Z613" s="8">
        <v>815761674</v>
      </c>
      <c r="AA613" s="8">
        <v>1868474453</v>
      </c>
      <c r="AB613" s="8"/>
      <c r="AC613" s="8">
        <f t="shared" si="75"/>
        <v>49450818492</v>
      </c>
      <c r="AD613" s="8"/>
      <c r="AE613" s="8"/>
      <c r="AF613" s="8"/>
      <c r="AG613" s="8"/>
      <c r="AH613" s="8">
        <v>12877717594</v>
      </c>
      <c r="AI613" s="8">
        <v>946278468</v>
      </c>
      <c r="AJ613" s="8">
        <v>837748323</v>
      </c>
      <c r="AK613" s="8">
        <v>2113801992</v>
      </c>
      <c r="AL613" s="8"/>
      <c r="AM613" s="8">
        <v>6149683028</v>
      </c>
      <c r="AN613" s="8">
        <f t="shared" si="80"/>
        <v>72376047897</v>
      </c>
      <c r="AO613" s="8"/>
      <c r="AP613" s="8"/>
      <c r="AQ613" s="8">
        <v>2812537655</v>
      </c>
      <c r="AR613" s="8"/>
      <c r="AS613" s="8"/>
      <c r="AT613" s="8">
        <v>12877717594</v>
      </c>
      <c r="AU613" s="8"/>
      <c r="AV613" s="8">
        <v>837748323</v>
      </c>
      <c r="AW613" s="8">
        <v>1431969292</v>
      </c>
      <c r="AX613" s="8"/>
      <c r="AY613" s="8"/>
      <c r="AZ613" s="8"/>
      <c r="BA613" s="8"/>
      <c r="BB613" s="8">
        <f>VLOOKUP(B613,'[2]anuladas en mayo gratuidad}'!K$2:L$55,2,0)</f>
        <v>117926112</v>
      </c>
      <c r="BC613" s="8">
        <f t="shared" si="76"/>
        <v>90218094649</v>
      </c>
      <c r="BD613" s="4">
        <v>84186337733</v>
      </c>
      <c r="BE613" s="4">
        <f t="shared" si="77"/>
        <v>6031756916</v>
      </c>
      <c r="BF613" s="30">
        <f t="shared" si="78"/>
        <v>90218094649</v>
      </c>
      <c r="BG613" s="18">
        <f t="shared" si="79"/>
        <v>0</v>
      </c>
      <c r="BH613" s="23"/>
      <c r="BI613" s="23"/>
      <c r="BJ613" s="23"/>
    </row>
    <row r="614" spans="1:66" ht="15" customHeight="1" x14ac:dyDescent="0.2">
      <c r="A614" s="1">
        <v>8918578243</v>
      </c>
      <c r="B614" s="1">
        <v>891857824</v>
      </c>
      <c r="C614" s="15">
        <v>216285162</v>
      </c>
      <c r="D614" s="16" t="s">
        <v>961</v>
      </c>
      <c r="E614" s="41" t="s">
        <v>2022</v>
      </c>
      <c r="F614" s="28"/>
      <c r="G614" s="2"/>
      <c r="H614" s="3"/>
      <c r="I614" s="2"/>
      <c r="J614" s="29"/>
      <c r="K614" s="3"/>
      <c r="L614" s="2"/>
      <c r="M614" s="8"/>
      <c r="N614" s="3"/>
      <c r="O614" s="2"/>
      <c r="P614" s="3"/>
      <c r="Q614" s="2"/>
      <c r="R614" s="3"/>
      <c r="S614" s="3"/>
      <c r="T614" s="2"/>
      <c r="U614" s="8">
        <f t="shared" si="74"/>
        <v>0</v>
      </c>
      <c r="V614" s="8"/>
      <c r="W614" s="8"/>
      <c r="X614" s="8"/>
      <c r="Y614" s="8"/>
      <c r="Z614" s="8"/>
      <c r="AA614" s="8"/>
      <c r="AB614" s="8"/>
      <c r="AC614" s="8">
        <f t="shared" si="75"/>
        <v>0</v>
      </c>
      <c r="AD614" s="8"/>
      <c r="AE614" s="8"/>
      <c r="AF614" s="8"/>
      <c r="AG614" s="8"/>
      <c r="AH614" s="8"/>
      <c r="AI614" s="8"/>
      <c r="AJ614" s="8"/>
      <c r="AK614" s="8"/>
      <c r="AL614" s="8"/>
      <c r="AM614" s="8">
        <v>248104555</v>
      </c>
      <c r="AN614" s="8">
        <f t="shared" si="80"/>
        <v>248104555</v>
      </c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>
        <v>101792455</v>
      </c>
      <c r="AZ614" s="8"/>
      <c r="BA614" s="8"/>
      <c r="BB614" s="8"/>
      <c r="BC614" s="8">
        <f t="shared" si="76"/>
        <v>349897010</v>
      </c>
      <c r="BD614" s="4">
        <v>101792455</v>
      </c>
      <c r="BE614" s="4">
        <f t="shared" si="77"/>
        <v>248104555</v>
      </c>
      <c r="BF614" s="30">
        <f t="shared" si="78"/>
        <v>349897010</v>
      </c>
      <c r="BG614" s="18">
        <f t="shared" si="79"/>
        <v>0</v>
      </c>
      <c r="BH614" s="23"/>
      <c r="BI614" s="23"/>
      <c r="BJ614" s="23"/>
    </row>
    <row r="615" spans="1:66" ht="15" customHeight="1" x14ac:dyDescent="0.2">
      <c r="A615" s="1">
        <v>8000654749</v>
      </c>
      <c r="B615" s="1">
        <v>800065474</v>
      </c>
      <c r="C615" s="15">
        <v>210023500</v>
      </c>
      <c r="D615" s="16" t="s">
        <v>449</v>
      </c>
      <c r="E615" s="41" t="s">
        <v>1476</v>
      </c>
      <c r="F615" s="28"/>
      <c r="G615" s="2"/>
      <c r="H615" s="3"/>
      <c r="I615" s="2"/>
      <c r="J615" s="29"/>
      <c r="K615" s="3"/>
      <c r="L615" s="2"/>
      <c r="M615" s="8"/>
      <c r="N615" s="3"/>
      <c r="O615" s="2"/>
      <c r="P615" s="3"/>
      <c r="Q615" s="2"/>
      <c r="R615" s="3"/>
      <c r="S615" s="3"/>
      <c r="T615" s="2"/>
      <c r="U615" s="8">
        <f t="shared" si="74"/>
        <v>0</v>
      </c>
      <c r="V615" s="8"/>
      <c r="W615" s="8"/>
      <c r="X615" s="8"/>
      <c r="Y615" s="8"/>
      <c r="Z615" s="8"/>
      <c r="AA615" s="8"/>
      <c r="AB615" s="8"/>
      <c r="AC615" s="8">
        <f t="shared" si="75"/>
        <v>0</v>
      </c>
      <c r="AD615" s="8"/>
      <c r="AE615" s="8"/>
      <c r="AF615" s="8"/>
      <c r="AG615" s="8"/>
      <c r="AH615" s="8"/>
      <c r="AI615" s="8"/>
      <c r="AJ615" s="8"/>
      <c r="AK615" s="8"/>
      <c r="AL615" s="8"/>
      <c r="AM615" s="8">
        <v>130666168</v>
      </c>
      <c r="AN615" s="8">
        <f t="shared" si="80"/>
        <v>130666168</v>
      </c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>
        <v>373793635</v>
      </c>
      <c r="AZ615" s="8"/>
      <c r="BA615" s="8"/>
      <c r="BB615" s="8"/>
      <c r="BC615" s="8">
        <f t="shared" si="76"/>
        <v>504459803</v>
      </c>
      <c r="BD615" s="4">
        <v>373793635</v>
      </c>
      <c r="BE615" s="4">
        <f t="shared" si="77"/>
        <v>130666168</v>
      </c>
      <c r="BF615" s="30">
        <f t="shared" si="78"/>
        <v>504459803</v>
      </c>
      <c r="BG615" s="18">
        <f t="shared" si="79"/>
        <v>0</v>
      </c>
      <c r="BH615" s="23"/>
      <c r="BI615" s="23"/>
      <c r="BJ615" s="23"/>
    </row>
    <row r="616" spans="1:66" ht="15" customHeight="1" x14ac:dyDescent="0.2">
      <c r="A616" s="1">
        <v>8904804319</v>
      </c>
      <c r="B616" s="1">
        <v>890480431</v>
      </c>
      <c r="C616" s="15">
        <v>217313473</v>
      </c>
      <c r="D616" s="16" t="s">
        <v>199</v>
      </c>
      <c r="E616" s="41" t="s">
        <v>1230</v>
      </c>
      <c r="F616" s="28"/>
      <c r="G616" s="2"/>
      <c r="H616" s="3"/>
      <c r="I616" s="2"/>
      <c r="J616" s="29"/>
      <c r="K616" s="3"/>
      <c r="L616" s="2"/>
      <c r="M616" s="8"/>
      <c r="N616" s="3"/>
      <c r="O616" s="2"/>
      <c r="P616" s="3"/>
      <c r="Q616" s="2"/>
      <c r="R616" s="3"/>
      <c r="S616" s="3"/>
      <c r="T616" s="2"/>
      <c r="U616" s="8">
        <f t="shared" si="74"/>
        <v>0</v>
      </c>
      <c r="V616" s="8"/>
      <c r="W616" s="8"/>
      <c r="X616" s="8"/>
      <c r="Y616" s="8"/>
      <c r="Z616" s="8"/>
      <c r="AA616" s="8"/>
      <c r="AB616" s="8"/>
      <c r="AC616" s="8">
        <f t="shared" si="75"/>
        <v>0</v>
      </c>
      <c r="AD616" s="8"/>
      <c r="AE616" s="8"/>
      <c r="AF616" s="8"/>
      <c r="AG616" s="8"/>
      <c r="AH616" s="8"/>
      <c r="AI616" s="8"/>
      <c r="AJ616" s="8"/>
      <c r="AK616" s="8"/>
      <c r="AL616" s="8"/>
      <c r="AM616" s="8">
        <v>223009919</v>
      </c>
      <c r="AN616" s="8">
        <f t="shared" si="80"/>
        <v>223009919</v>
      </c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>
        <v>220022575</v>
      </c>
      <c r="AZ616" s="8"/>
      <c r="BA616" s="8">
        <f>VLOOKUP(B616,[1]Hoja3!J$3:K$674,2,0)</f>
        <v>78742057</v>
      </c>
      <c r="BB616" s="8"/>
      <c r="BC616" s="8">
        <f t="shared" si="76"/>
        <v>521774551</v>
      </c>
      <c r="BD616" s="4">
        <v>220022575</v>
      </c>
      <c r="BE616" s="4">
        <f t="shared" si="77"/>
        <v>301751976</v>
      </c>
      <c r="BF616" s="30">
        <f t="shared" si="78"/>
        <v>521774551</v>
      </c>
      <c r="BG616" s="18">
        <f t="shared" si="79"/>
        <v>0</v>
      </c>
      <c r="BH616" s="23"/>
      <c r="BI616" s="23"/>
      <c r="BJ616" s="23"/>
    </row>
    <row r="617" spans="1:66" ht="15" customHeight="1" x14ac:dyDescent="0.2">
      <c r="A617" s="1">
        <v>8915009826</v>
      </c>
      <c r="B617" s="1">
        <v>891500982</v>
      </c>
      <c r="C617" s="15">
        <v>217319473</v>
      </c>
      <c r="D617" s="16" t="s">
        <v>393</v>
      </c>
      <c r="E617" s="41" t="s">
        <v>1422</v>
      </c>
      <c r="F617" s="28"/>
      <c r="G617" s="17"/>
      <c r="H617" s="3"/>
      <c r="I617" s="2"/>
      <c r="J617" s="29"/>
      <c r="K617" s="3"/>
      <c r="L617" s="17"/>
      <c r="M617" s="34"/>
      <c r="N617" s="3"/>
      <c r="O617" s="17"/>
      <c r="P617" s="3"/>
      <c r="Q617" s="2"/>
      <c r="R617" s="3"/>
      <c r="S617" s="3"/>
      <c r="T617" s="17"/>
      <c r="U617" s="8">
        <f t="shared" si="74"/>
        <v>0</v>
      </c>
      <c r="V617" s="8"/>
      <c r="W617" s="8"/>
      <c r="X617" s="8"/>
      <c r="Y617" s="8"/>
      <c r="Z617" s="8"/>
      <c r="AA617" s="8"/>
      <c r="AB617" s="8"/>
      <c r="AC617" s="8">
        <f t="shared" si="75"/>
        <v>0</v>
      </c>
      <c r="AD617" s="8"/>
      <c r="AE617" s="8"/>
      <c r="AF617" s="8"/>
      <c r="AG617" s="8"/>
      <c r="AH617" s="8"/>
      <c r="AI617" s="8"/>
      <c r="AJ617" s="8"/>
      <c r="AK617" s="8"/>
      <c r="AL617" s="8"/>
      <c r="AM617" s="8">
        <v>53632555</v>
      </c>
      <c r="AN617" s="8">
        <f t="shared" si="80"/>
        <v>53632555</v>
      </c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>
        <v>326817720</v>
      </c>
      <c r="AZ617" s="8"/>
      <c r="BA617" s="8">
        <f>VLOOKUP(B617,[1]Hoja3!J$3:K$674,2,0)</f>
        <v>230559972</v>
      </c>
      <c r="BB617" s="8"/>
      <c r="BC617" s="8">
        <f t="shared" si="76"/>
        <v>611010247</v>
      </c>
      <c r="BD617" s="4">
        <v>326817720</v>
      </c>
      <c r="BE617" s="4">
        <f t="shared" si="77"/>
        <v>284192527</v>
      </c>
      <c r="BF617" s="30">
        <f t="shared" si="78"/>
        <v>611010247</v>
      </c>
      <c r="BG617" s="18">
        <f t="shared" si="79"/>
        <v>0</v>
      </c>
      <c r="BH617" s="23"/>
      <c r="BI617" s="14"/>
      <c r="BJ617" s="14"/>
      <c r="BK617" s="14"/>
      <c r="BL617" s="14"/>
      <c r="BM617" s="14"/>
      <c r="BN617" s="14"/>
    </row>
    <row r="618" spans="1:66" ht="15" customHeight="1" x14ac:dyDescent="0.2">
      <c r="A618" s="1">
        <v>8000957734</v>
      </c>
      <c r="B618" s="1">
        <v>800095773</v>
      </c>
      <c r="C618" s="15">
        <v>217918479</v>
      </c>
      <c r="D618" s="16" t="s">
        <v>368</v>
      </c>
      <c r="E618" s="41" t="s">
        <v>1398</v>
      </c>
      <c r="F618" s="28"/>
      <c r="G618" s="2"/>
      <c r="H618" s="3"/>
      <c r="I618" s="2"/>
      <c r="J618" s="29"/>
      <c r="K618" s="3"/>
      <c r="L618" s="2"/>
      <c r="M618" s="8"/>
      <c r="N618" s="3"/>
      <c r="O618" s="2"/>
      <c r="P618" s="3"/>
      <c r="Q618" s="2"/>
      <c r="R618" s="3"/>
      <c r="S618" s="3"/>
      <c r="T618" s="2"/>
      <c r="U618" s="8">
        <f t="shared" si="74"/>
        <v>0</v>
      </c>
      <c r="V618" s="8"/>
      <c r="W618" s="8"/>
      <c r="X618" s="8"/>
      <c r="Y618" s="8"/>
      <c r="Z618" s="8"/>
      <c r="AA618" s="8"/>
      <c r="AB618" s="8"/>
      <c r="AC618" s="8">
        <f t="shared" si="75"/>
        <v>0</v>
      </c>
      <c r="AD618" s="8"/>
      <c r="AE618" s="8"/>
      <c r="AF618" s="8"/>
      <c r="AG618" s="8"/>
      <c r="AH618" s="8"/>
      <c r="AI618" s="8"/>
      <c r="AJ618" s="8"/>
      <c r="AK618" s="8"/>
      <c r="AL618" s="8"/>
      <c r="AM618" s="8">
        <v>59746890</v>
      </c>
      <c r="AN618" s="8">
        <f t="shared" si="80"/>
        <v>59746890</v>
      </c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>
        <v>30294640</v>
      </c>
      <c r="AZ618" s="8"/>
      <c r="BA618" s="8"/>
      <c r="BB618" s="8"/>
      <c r="BC618" s="8">
        <f t="shared" si="76"/>
        <v>90041530</v>
      </c>
      <c r="BD618" s="4">
        <v>30294640</v>
      </c>
      <c r="BE618" s="4">
        <f t="shared" si="77"/>
        <v>59746890</v>
      </c>
      <c r="BF618" s="30">
        <f t="shared" si="78"/>
        <v>90041530</v>
      </c>
      <c r="BG618" s="18">
        <f t="shared" si="79"/>
        <v>0</v>
      </c>
      <c r="BH618" s="23"/>
      <c r="BI618" s="23"/>
      <c r="BJ618" s="23"/>
    </row>
    <row r="619" spans="1:66" ht="15" customHeight="1" x14ac:dyDescent="0.2">
      <c r="A619" s="1">
        <v>8922012962</v>
      </c>
      <c r="B619" s="1">
        <v>892201296</v>
      </c>
      <c r="C619" s="15">
        <v>217370473</v>
      </c>
      <c r="D619" s="16" t="s">
        <v>902</v>
      </c>
      <c r="E619" s="41" t="s">
        <v>1916</v>
      </c>
      <c r="F619" s="28"/>
      <c r="G619" s="2"/>
      <c r="H619" s="3"/>
      <c r="I619" s="2"/>
      <c r="J619" s="29"/>
      <c r="K619" s="3"/>
      <c r="L619" s="2"/>
      <c r="M619" s="8"/>
      <c r="N619" s="3"/>
      <c r="O619" s="2"/>
      <c r="P619" s="3"/>
      <c r="Q619" s="2"/>
      <c r="R619" s="3"/>
      <c r="S619" s="3"/>
      <c r="T619" s="2"/>
      <c r="U619" s="8">
        <f t="shared" si="74"/>
        <v>0</v>
      </c>
      <c r="V619" s="8"/>
      <c r="W619" s="8"/>
      <c r="X619" s="8"/>
      <c r="Y619" s="8"/>
      <c r="Z619" s="8"/>
      <c r="AA619" s="8"/>
      <c r="AB619" s="8"/>
      <c r="AC619" s="8">
        <f t="shared" si="75"/>
        <v>0</v>
      </c>
      <c r="AD619" s="8"/>
      <c r="AE619" s="8"/>
      <c r="AF619" s="8"/>
      <c r="AG619" s="8"/>
      <c r="AH619" s="8"/>
      <c r="AI619" s="8"/>
      <c r="AJ619" s="8"/>
      <c r="AK619" s="8"/>
      <c r="AL619" s="8"/>
      <c r="AM619" s="8">
        <v>133566406</v>
      </c>
      <c r="AN619" s="8">
        <f t="shared" si="80"/>
        <v>133566406</v>
      </c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>
        <v>138318895</v>
      </c>
      <c r="AZ619" s="8"/>
      <c r="BA619" s="8">
        <f>VLOOKUP(B619,[1]Hoja3!J$3:K$674,2,0)</f>
        <v>71753842</v>
      </c>
      <c r="BB619" s="8"/>
      <c r="BC619" s="8">
        <f t="shared" si="76"/>
        <v>343639143</v>
      </c>
      <c r="BD619" s="4">
        <v>138318895</v>
      </c>
      <c r="BE619" s="4">
        <f t="shared" si="77"/>
        <v>205320248</v>
      </c>
      <c r="BF619" s="30">
        <f t="shared" si="78"/>
        <v>343639143</v>
      </c>
      <c r="BG619" s="18">
        <f t="shared" si="79"/>
        <v>0</v>
      </c>
      <c r="BH619" s="23"/>
      <c r="BI619" s="23"/>
      <c r="BJ619" s="23"/>
    </row>
    <row r="620" spans="1:66" ht="15" customHeight="1" x14ac:dyDescent="0.2">
      <c r="A620" s="1">
        <v>8999993423</v>
      </c>
      <c r="B620" s="1">
        <v>899999342</v>
      </c>
      <c r="C620" s="15">
        <v>217325473</v>
      </c>
      <c r="D620" s="16" t="s">
        <v>514</v>
      </c>
      <c r="E620" s="53" t="s">
        <v>1539</v>
      </c>
      <c r="F620" s="28"/>
      <c r="G620" s="2"/>
      <c r="H620" s="3"/>
      <c r="I620" s="2">
        <f>1698402352+35110256</f>
        <v>1733512608</v>
      </c>
      <c r="J620" s="29">
        <v>119056077</v>
      </c>
      <c r="K620" s="3">
        <v>235883889</v>
      </c>
      <c r="L620" s="2"/>
      <c r="M620" s="37">
        <f>SUM(F620:L620)</f>
        <v>2088452574</v>
      </c>
      <c r="N620" s="3"/>
      <c r="O620" s="2"/>
      <c r="P620" s="3"/>
      <c r="Q620" s="2">
        <f>1639545890+15959207</f>
        <v>1655505097</v>
      </c>
      <c r="R620" s="3">
        <v>119056077</v>
      </c>
      <c r="S620" s="3">
        <f>116827812+119056077</f>
        <v>235883889</v>
      </c>
      <c r="T620" s="2"/>
      <c r="U620" s="8">
        <f t="shared" si="74"/>
        <v>4098897637</v>
      </c>
      <c r="V620" s="8"/>
      <c r="W620" s="8"/>
      <c r="X620" s="8"/>
      <c r="Y620" s="8">
        <v>3024474769</v>
      </c>
      <c r="Z620" s="8">
        <v>113942680</v>
      </c>
      <c r="AA620" s="8">
        <v>267948913</v>
      </c>
      <c r="AB620" s="8"/>
      <c r="AC620" s="8">
        <f t="shared" si="75"/>
        <v>7505263999</v>
      </c>
      <c r="AD620" s="8"/>
      <c r="AE620" s="8"/>
      <c r="AF620" s="8"/>
      <c r="AG620" s="8"/>
      <c r="AH620" s="8">
        <v>1648792508</v>
      </c>
      <c r="AI620" s="8">
        <v>196559603</v>
      </c>
      <c r="AJ620" s="8">
        <v>122616853</v>
      </c>
      <c r="AK620" s="8">
        <v>308694448</v>
      </c>
      <c r="AL620" s="8"/>
      <c r="AM620" s="8">
        <v>944657443</v>
      </c>
      <c r="AN620" s="8">
        <f t="shared" si="80"/>
        <v>10726584854</v>
      </c>
      <c r="AO620" s="8"/>
      <c r="AP620" s="8"/>
      <c r="AQ620" s="8">
        <v>327404655</v>
      </c>
      <c r="AR620" s="8"/>
      <c r="AS620" s="8"/>
      <c r="AT620" s="8">
        <v>1648792508</v>
      </c>
      <c r="AU620" s="8"/>
      <c r="AV620" s="8">
        <v>122616853</v>
      </c>
      <c r="AW620" s="8">
        <v>209112578</v>
      </c>
      <c r="AX620" s="8"/>
      <c r="AY620" s="8"/>
      <c r="AZ620" s="8">
        <v>136070773</v>
      </c>
      <c r="BA620" s="8">
        <f>VLOOKUP(B620,[1]Hoja3!J$3:K$674,2,0)</f>
        <v>162976906</v>
      </c>
      <c r="BB620" s="8"/>
      <c r="BC620" s="8">
        <f t="shared" si="76"/>
        <v>13333559127</v>
      </c>
      <c r="BD620" s="4">
        <v>12225924778</v>
      </c>
      <c r="BE620" s="4">
        <f t="shared" si="77"/>
        <v>1107634349</v>
      </c>
      <c r="BF620" s="30">
        <f t="shared" si="78"/>
        <v>13333559127</v>
      </c>
      <c r="BG620" s="18">
        <f t="shared" si="79"/>
        <v>0</v>
      </c>
      <c r="BH620" s="23"/>
      <c r="BI620" s="23"/>
      <c r="BJ620" s="23"/>
    </row>
    <row r="621" spans="1:66" ht="15" customHeight="1" x14ac:dyDescent="0.2">
      <c r="A621" s="1">
        <v>8000991117</v>
      </c>
      <c r="B621" s="1">
        <v>800099111</v>
      </c>
      <c r="C621" s="15">
        <v>217352473</v>
      </c>
      <c r="D621" s="16" t="s">
        <v>727</v>
      </c>
      <c r="E621" s="41" t="s">
        <v>1750</v>
      </c>
      <c r="F621" s="28"/>
      <c r="G621" s="17"/>
      <c r="H621" s="3"/>
      <c r="I621" s="2"/>
      <c r="J621" s="29"/>
      <c r="K621" s="3"/>
      <c r="L621" s="17"/>
      <c r="M621" s="34"/>
      <c r="N621" s="3"/>
      <c r="O621" s="17"/>
      <c r="P621" s="3"/>
      <c r="Q621" s="2"/>
      <c r="R621" s="3"/>
      <c r="S621" s="3"/>
      <c r="T621" s="17"/>
      <c r="U621" s="8">
        <f t="shared" si="74"/>
        <v>0</v>
      </c>
      <c r="V621" s="8"/>
      <c r="W621" s="8"/>
      <c r="X621" s="8"/>
      <c r="Y621" s="8"/>
      <c r="Z621" s="8"/>
      <c r="AA621" s="8"/>
      <c r="AB621" s="8"/>
      <c r="AC621" s="8">
        <f t="shared" si="75"/>
        <v>0</v>
      </c>
      <c r="AD621" s="8"/>
      <c r="AE621" s="8"/>
      <c r="AF621" s="8"/>
      <c r="AG621" s="8"/>
      <c r="AH621" s="8"/>
      <c r="AI621" s="8"/>
      <c r="AJ621" s="8"/>
      <c r="AK621" s="8"/>
      <c r="AL621" s="8"/>
      <c r="AM621" s="8">
        <v>165750014</v>
      </c>
      <c r="AN621" s="8">
        <f t="shared" si="80"/>
        <v>165750014</v>
      </c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>
        <v>129170010</v>
      </c>
      <c r="AZ621" s="8"/>
      <c r="BA621" s="8"/>
      <c r="BB621" s="8"/>
      <c r="BC621" s="8">
        <f t="shared" si="76"/>
        <v>294920024</v>
      </c>
      <c r="BD621" s="4">
        <v>129170010</v>
      </c>
      <c r="BE621" s="4">
        <f t="shared" si="77"/>
        <v>165750014</v>
      </c>
      <c r="BF621" s="30">
        <f t="shared" si="78"/>
        <v>294920024</v>
      </c>
      <c r="BG621" s="18">
        <f t="shared" si="79"/>
        <v>0</v>
      </c>
      <c r="BH621" s="23"/>
      <c r="BI621" s="14"/>
      <c r="BJ621" s="14"/>
      <c r="BK621" s="14"/>
      <c r="BL621" s="14"/>
      <c r="BM621" s="14"/>
      <c r="BN621" s="14"/>
    </row>
    <row r="622" spans="1:66" ht="15" customHeight="1" x14ac:dyDescent="0.2">
      <c r="A622" s="1">
        <v>8918019946</v>
      </c>
      <c r="B622" s="1">
        <v>891801994</v>
      </c>
      <c r="C622" s="15">
        <v>217615476</v>
      </c>
      <c r="D622" s="16" t="s">
        <v>272</v>
      </c>
      <c r="E622" s="41" t="s">
        <v>1306</v>
      </c>
      <c r="F622" s="28"/>
      <c r="G622" s="17"/>
      <c r="H622" s="3"/>
      <c r="I622" s="2"/>
      <c r="J622" s="29"/>
      <c r="K622" s="3"/>
      <c r="L622" s="17"/>
      <c r="M622" s="34"/>
      <c r="N622" s="3"/>
      <c r="O622" s="17"/>
      <c r="P622" s="3"/>
      <c r="Q622" s="2"/>
      <c r="R622" s="3"/>
      <c r="S622" s="3"/>
      <c r="T622" s="17"/>
      <c r="U622" s="8">
        <f t="shared" si="74"/>
        <v>0</v>
      </c>
      <c r="V622" s="8"/>
      <c r="W622" s="8"/>
      <c r="X622" s="8"/>
      <c r="Y622" s="8"/>
      <c r="Z622" s="8"/>
      <c r="AA622" s="8"/>
      <c r="AB622" s="8"/>
      <c r="AC622" s="8">
        <f t="shared" si="75"/>
        <v>0</v>
      </c>
      <c r="AD622" s="8"/>
      <c r="AE622" s="8"/>
      <c r="AF622" s="8"/>
      <c r="AG622" s="8"/>
      <c r="AH622" s="8"/>
      <c r="AI622" s="8"/>
      <c r="AJ622" s="8"/>
      <c r="AK622" s="8"/>
      <c r="AL622" s="8"/>
      <c r="AM622" s="8">
        <v>78764515</v>
      </c>
      <c r="AN622" s="8">
        <f t="shared" si="80"/>
        <v>78764515</v>
      </c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>
        <v>40438615</v>
      </c>
      <c r="AZ622" s="8"/>
      <c r="BA622" s="8"/>
      <c r="BB622" s="8"/>
      <c r="BC622" s="8">
        <f t="shared" si="76"/>
        <v>119203130</v>
      </c>
      <c r="BD622" s="4">
        <v>40438615</v>
      </c>
      <c r="BE622" s="4">
        <f t="shared" si="77"/>
        <v>78764515</v>
      </c>
      <c r="BF622" s="30">
        <f t="shared" si="78"/>
        <v>119203130</v>
      </c>
      <c r="BG622" s="18">
        <f t="shared" si="79"/>
        <v>0</v>
      </c>
      <c r="BH622" s="23"/>
      <c r="BI622" s="14"/>
      <c r="BJ622" s="14"/>
      <c r="BK622" s="14"/>
      <c r="BL622" s="14"/>
      <c r="BM622" s="14"/>
      <c r="BN622" s="14"/>
    </row>
    <row r="623" spans="1:66" ht="15" customHeight="1" x14ac:dyDescent="0.2">
      <c r="A623" s="1">
        <v>8911800091</v>
      </c>
      <c r="B623" s="1">
        <v>891180009</v>
      </c>
      <c r="C623" s="15">
        <v>210141001</v>
      </c>
      <c r="D623" s="16" t="s">
        <v>2180</v>
      </c>
      <c r="E623" s="53" t="s">
        <v>2061</v>
      </c>
      <c r="F623" s="28"/>
      <c r="G623" s="2"/>
      <c r="H623" s="3"/>
      <c r="I623" s="2">
        <f>9611686930+142697568</f>
        <v>9754384498</v>
      </c>
      <c r="J623" s="29">
        <v>615484284</v>
      </c>
      <c r="K623" s="3">
        <v>1222365588</v>
      </c>
      <c r="L623" s="2"/>
      <c r="M623" s="37">
        <f>SUM(F623:L623)</f>
        <v>11592234370</v>
      </c>
      <c r="N623" s="3"/>
      <c r="O623" s="2"/>
      <c r="P623" s="3"/>
      <c r="Q623" s="2">
        <f>9053755718+64862531</f>
        <v>9118618249</v>
      </c>
      <c r="R623" s="3">
        <v>615484284</v>
      </c>
      <c r="S623" s="3">
        <f>606881304+615484284</f>
        <v>1222365588</v>
      </c>
      <c r="T623" s="2"/>
      <c r="U623" s="8">
        <f t="shared" si="74"/>
        <v>22548702491</v>
      </c>
      <c r="V623" s="8"/>
      <c r="W623" s="8"/>
      <c r="X623" s="8"/>
      <c r="Y623" s="8">
        <v>11491153684</v>
      </c>
      <c r="Z623" s="8">
        <v>613941183</v>
      </c>
      <c r="AA623" s="8">
        <v>1417919469</v>
      </c>
      <c r="AB623" s="8"/>
      <c r="AC623" s="8">
        <f t="shared" si="75"/>
        <v>36071716827</v>
      </c>
      <c r="AD623" s="8"/>
      <c r="AE623" s="8"/>
      <c r="AF623" s="8"/>
      <c r="AG623" s="8"/>
      <c r="AH623" s="8">
        <v>9208658628</v>
      </c>
      <c r="AI623" s="8">
        <v>772229885</v>
      </c>
      <c r="AJ623" s="8">
        <v>632762785</v>
      </c>
      <c r="AK623" s="8">
        <v>1595221246</v>
      </c>
      <c r="AL623" s="8"/>
      <c r="AM623" s="8">
        <v>3258096207</v>
      </c>
      <c r="AN623" s="8">
        <f t="shared" si="80"/>
        <v>51538685578</v>
      </c>
      <c r="AO623" s="8"/>
      <c r="AP623" s="8"/>
      <c r="AQ623" s="8">
        <v>1376658450</v>
      </c>
      <c r="AR623" s="8"/>
      <c r="AS623" s="8"/>
      <c r="AT623" s="8">
        <v>9208658628</v>
      </c>
      <c r="AU623" s="8"/>
      <c r="AV623" s="8">
        <v>632762785</v>
      </c>
      <c r="AW623" s="8">
        <v>1080393428</v>
      </c>
      <c r="AX623" s="8"/>
      <c r="AY623" s="8"/>
      <c r="AZ623" s="8"/>
      <c r="BA623" s="8">
        <f>VLOOKUP(B623,[1]Hoja3!J$3:K$674,2,0)</f>
        <v>527618082</v>
      </c>
      <c r="BB623" s="8"/>
      <c r="BC623" s="8">
        <f t="shared" si="76"/>
        <v>64364776951</v>
      </c>
      <c r="BD623" s="4">
        <v>60579062662</v>
      </c>
      <c r="BE623" s="4">
        <f t="shared" si="77"/>
        <v>3785714289</v>
      </c>
      <c r="BF623" s="30">
        <f t="shared" si="78"/>
        <v>64364776951</v>
      </c>
      <c r="BG623" s="18">
        <f t="shared" si="79"/>
        <v>0</v>
      </c>
      <c r="BH623" s="23"/>
      <c r="BI623" s="23"/>
      <c r="BJ623" s="23"/>
    </row>
    <row r="624" spans="1:66" ht="15" customHeight="1" x14ac:dyDescent="0.2">
      <c r="A624" s="1">
        <v>8905014342</v>
      </c>
      <c r="B624" s="1">
        <v>890501434</v>
      </c>
      <c r="C624" s="15">
        <v>210154001</v>
      </c>
      <c r="D624" s="16" t="s">
        <v>2156</v>
      </c>
      <c r="E624" s="53" t="s">
        <v>1042</v>
      </c>
      <c r="F624" s="28"/>
      <c r="G624" s="2"/>
      <c r="H624" s="3"/>
      <c r="I624" s="2">
        <f>15499636379+238114358</f>
        <v>15737750737</v>
      </c>
      <c r="J624" s="29">
        <v>1043762873</v>
      </c>
      <c r="K624" s="3">
        <v>2071373929</v>
      </c>
      <c r="L624" s="2"/>
      <c r="M624" s="37">
        <f>SUM(F624:L624)</f>
        <v>18852887539</v>
      </c>
      <c r="N624" s="3"/>
      <c r="O624" s="2"/>
      <c r="P624" s="3"/>
      <c r="Q624" s="2">
        <f>14591764070+108233799</f>
        <v>14699997869</v>
      </c>
      <c r="R624" s="3">
        <v>1044096255</v>
      </c>
      <c r="S624" s="3">
        <f>1027611056+1044096255</f>
        <v>2071707311</v>
      </c>
      <c r="T624" s="2"/>
      <c r="U624" s="8">
        <f t="shared" si="74"/>
        <v>36668688974</v>
      </c>
      <c r="V624" s="8"/>
      <c r="W624" s="8"/>
      <c r="X624" s="8"/>
      <c r="Y624" s="8">
        <v>26109132175</v>
      </c>
      <c r="Z624" s="8">
        <v>1039465798</v>
      </c>
      <c r="AA624" s="8">
        <v>2403927220</v>
      </c>
      <c r="AB624" s="8"/>
      <c r="AC624" s="8">
        <f t="shared" si="75"/>
        <v>66221214167</v>
      </c>
      <c r="AD624" s="8"/>
      <c r="AE624" s="8"/>
      <c r="AF624" s="8"/>
      <c r="AG624" s="8"/>
      <c r="AH624" s="8">
        <v>14707473105</v>
      </c>
      <c r="AI624" s="8">
        <v>1433257264</v>
      </c>
      <c r="AJ624" s="8">
        <v>1072896739</v>
      </c>
      <c r="AK624" s="8">
        <v>2704191932</v>
      </c>
      <c r="AL624" s="8"/>
      <c r="AM624" s="8">
        <v>6020854520</v>
      </c>
      <c r="AN624" s="8">
        <f t="shared" si="80"/>
        <v>92159887727</v>
      </c>
      <c r="AO624" s="8"/>
      <c r="AP624" s="8"/>
      <c r="AQ624" s="8">
        <v>2717265280</v>
      </c>
      <c r="AR624" s="8"/>
      <c r="AS624" s="8"/>
      <c r="AT624" s="8">
        <v>14707473105</v>
      </c>
      <c r="AU624" s="8">
        <v>495403437</v>
      </c>
      <c r="AV624" s="8">
        <v>1072896739</v>
      </c>
      <c r="AW624" s="8">
        <v>1831424364</v>
      </c>
      <c r="AX624" s="8"/>
      <c r="AY624" s="8"/>
      <c r="AZ624" s="8">
        <v>6396521687</v>
      </c>
      <c r="BA624" s="8">
        <f>VLOOKUP(B624,[1]Hoja3!J$3:K$674,2,0)</f>
        <v>1020131443</v>
      </c>
      <c r="BB624" s="8">
        <f>VLOOKUP(B624,'[2]anuladas en mayo gratuidad}'!K$2:L$55,2,0)</f>
        <v>76768723</v>
      </c>
      <c r="BC624" s="8">
        <f t="shared" si="76"/>
        <v>120324235059</v>
      </c>
      <c r="BD624" s="4">
        <v>113360017819</v>
      </c>
      <c r="BE624" s="4">
        <f t="shared" si="77"/>
        <v>6964217240</v>
      </c>
      <c r="BF624" s="30">
        <f t="shared" si="78"/>
        <v>120324235059</v>
      </c>
      <c r="BG624" s="18">
        <f t="shared" si="79"/>
        <v>0</v>
      </c>
      <c r="BH624" s="23"/>
      <c r="BI624" s="23"/>
      <c r="BJ624" s="23"/>
    </row>
    <row r="625" spans="1:66" ht="15" customHeight="1" x14ac:dyDescent="0.2">
      <c r="A625" s="1">
        <v>8000103508</v>
      </c>
      <c r="B625" s="1">
        <v>800010350</v>
      </c>
      <c r="C625" s="15">
        <v>216173461</v>
      </c>
      <c r="D625" s="16" t="s">
        <v>2229</v>
      </c>
      <c r="E625" s="41" t="s">
        <v>1954</v>
      </c>
      <c r="F625" s="28"/>
      <c r="G625" s="2"/>
      <c r="H625" s="3"/>
      <c r="I625" s="2"/>
      <c r="J625" s="29"/>
      <c r="K625" s="3"/>
      <c r="L625" s="2"/>
      <c r="M625" s="8"/>
      <c r="N625" s="3"/>
      <c r="O625" s="2"/>
      <c r="P625" s="3"/>
      <c r="Q625" s="2"/>
      <c r="R625" s="3"/>
      <c r="S625" s="3"/>
      <c r="T625" s="2"/>
      <c r="U625" s="8">
        <f t="shared" si="74"/>
        <v>0</v>
      </c>
      <c r="V625" s="8"/>
      <c r="W625" s="8"/>
      <c r="X625" s="8"/>
      <c r="Y625" s="8"/>
      <c r="Z625" s="8"/>
      <c r="AA625" s="8"/>
      <c r="AB625" s="8"/>
      <c r="AC625" s="8">
        <f t="shared" si="75"/>
        <v>0</v>
      </c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>
        <v>34380600</v>
      </c>
      <c r="AZ625" s="8"/>
      <c r="BA625" s="8">
        <f>VLOOKUP(B625,[1]Hoja3!J$3:K$674,2,0)</f>
        <v>74933733</v>
      </c>
      <c r="BB625" s="8"/>
      <c r="BC625" s="8">
        <f t="shared" si="76"/>
        <v>109314333</v>
      </c>
      <c r="BD625" s="4">
        <v>34380600</v>
      </c>
      <c r="BE625" s="4">
        <f t="shared" si="77"/>
        <v>74933733</v>
      </c>
      <c r="BF625" s="30">
        <f t="shared" si="78"/>
        <v>109314333</v>
      </c>
      <c r="BG625" s="18">
        <f t="shared" si="79"/>
        <v>0</v>
      </c>
      <c r="BH625" s="23"/>
      <c r="BI625" s="23"/>
      <c r="BJ625" s="23"/>
    </row>
    <row r="626" spans="1:66" ht="15" customHeight="1" x14ac:dyDescent="0.2">
      <c r="A626" s="1">
        <v>8909848820</v>
      </c>
      <c r="B626" s="1">
        <v>890984882</v>
      </c>
      <c r="C626" s="15">
        <v>217505475</v>
      </c>
      <c r="D626" s="16" t="s">
        <v>109</v>
      </c>
      <c r="E626" s="41" t="s">
        <v>1140</v>
      </c>
      <c r="F626" s="28"/>
      <c r="G626" s="2"/>
      <c r="H626" s="3"/>
      <c r="I626" s="2"/>
      <c r="J626" s="29"/>
      <c r="K626" s="3"/>
      <c r="L626" s="2"/>
      <c r="M626" s="8"/>
      <c r="N626" s="3"/>
      <c r="O626" s="2"/>
      <c r="P626" s="3"/>
      <c r="Q626" s="2"/>
      <c r="R626" s="3"/>
      <c r="S626" s="3"/>
      <c r="T626" s="2"/>
      <c r="U626" s="8">
        <f t="shared" si="74"/>
        <v>0</v>
      </c>
      <c r="V626" s="8"/>
      <c r="W626" s="8"/>
      <c r="X626" s="8"/>
      <c r="Y626" s="8"/>
      <c r="Z626" s="8"/>
      <c r="AA626" s="8"/>
      <c r="AB626" s="8"/>
      <c r="AC626" s="8">
        <f t="shared" si="75"/>
        <v>0</v>
      </c>
      <c r="AD626" s="8"/>
      <c r="AE626" s="8"/>
      <c r="AF626" s="8"/>
      <c r="AG626" s="8"/>
      <c r="AH626" s="8"/>
      <c r="AI626" s="8"/>
      <c r="AJ626" s="8"/>
      <c r="AK626" s="8"/>
      <c r="AL626" s="8"/>
      <c r="AM626" s="8">
        <v>73275334</v>
      </c>
      <c r="AN626" s="8">
        <f>SUBTOTAL(9,AC626:AM626)</f>
        <v>73275334</v>
      </c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>
        <v>85041400</v>
      </c>
      <c r="AZ626" s="8"/>
      <c r="BA626" s="8"/>
      <c r="BB626" s="8">
        <f>VLOOKUP(B626,'[2]anuladas en mayo gratuidad}'!K$2:L$55,2,0)</f>
        <v>73275334</v>
      </c>
      <c r="BC626" s="8">
        <f t="shared" si="76"/>
        <v>85041400</v>
      </c>
      <c r="BD626" s="4">
        <v>85041400</v>
      </c>
      <c r="BE626" s="4">
        <f t="shared" si="77"/>
        <v>0</v>
      </c>
      <c r="BF626" s="30">
        <f t="shared" si="78"/>
        <v>85041400</v>
      </c>
      <c r="BG626" s="18">
        <f t="shared" si="79"/>
        <v>0</v>
      </c>
      <c r="BH626" s="23"/>
      <c r="BI626" s="23"/>
      <c r="BJ626" s="23"/>
    </row>
    <row r="627" spans="1:66" ht="15" customHeight="1" x14ac:dyDescent="0.2">
      <c r="A627" s="1">
        <v>8909809505</v>
      </c>
      <c r="B627" s="1">
        <v>890980950</v>
      </c>
      <c r="C627" s="15">
        <v>218005480</v>
      </c>
      <c r="D627" s="16" t="s">
        <v>110</v>
      </c>
      <c r="E627" s="41" t="s">
        <v>1141</v>
      </c>
      <c r="F627" s="28"/>
      <c r="G627" s="2"/>
      <c r="H627" s="3"/>
      <c r="I627" s="2"/>
      <c r="J627" s="29"/>
      <c r="K627" s="3"/>
      <c r="L627" s="2"/>
      <c r="M627" s="8"/>
      <c r="N627" s="3"/>
      <c r="O627" s="2"/>
      <c r="P627" s="3"/>
      <c r="Q627" s="2"/>
      <c r="R627" s="3"/>
      <c r="S627" s="3"/>
      <c r="T627" s="2"/>
      <c r="U627" s="8">
        <f t="shared" si="74"/>
        <v>0</v>
      </c>
      <c r="V627" s="8"/>
      <c r="W627" s="8"/>
      <c r="X627" s="8"/>
      <c r="Y627" s="8"/>
      <c r="Z627" s="8"/>
      <c r="AA627" s="8"/>
      <c r="AB627" s="8"/>
      <c r="AC627" s="8">
        <f t="shared" si="75"/>
        <v>0</v>
      </c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>
        <f>VLOOKUP(B627,[1]Hoja3!J$3:K$674,2,0)</f>
        <v>326313901</v>
      </c>
      <c r="BB627" s="8"/>
      <c r="BC627" s="8">
        <f t="shared" si="76"/>
        <v>326313901</v>
      </c>
      <c r="BD627" s="4"/>
      <c r="BE627" s="4">
        <f t="shared" si="77"/>
        <v>326313901</v>
      </c>
      <c r="BF627" s="30">
        <f t="shared" si="78"/>
        <v>326313901</v>
      </c>
      <c r="BG627" s="18">
        <f t="shared" si="79"/>
        <v>0</v>
      </c>
      <c r="BH627" s="23"/>
      <c r="BI627" s="23"/>
      <c r="BJ627" s="23"/>
    </row>
    <row r="628" spans="1:66" ht="15" customHeight="1" x14ac:dyDescent="0.2">
      <c r="A628" s="1">
        <v>8905032338</v>
      </c>
      <c r="B628" s="1">
        <v>890503233</v>
      </c>
      <c r="C628" s="15">
        <v>218054480</v>
      </c>
      <c r="D628" s="16" t="s">
        <v>773</v>
      </c>
      <c r="E628" s="41" t="s">
        <v>1791</v>
      </c>
      <c r="F628" s="28"/>
      <c r="G628" s="2"/>
      <c r="H628" s="3"/>
      <c r="I628" s="2"/>
      <c r="J628" s="29"/>
      <c r="K628" s="3"/>
      <c r="L628" s="2"/>
      <c r="M628" s="8"/>
      <c r="N628" s="3"/>
      <c r="O628" s="2"/>
      <c r="P628" s="3"/>
      <c r="Q628" s="2"/>
      <c r="R628" s="3"/>
      <c r="S628" s="3"/>
      <c r="T628" s="2"/>
      <c r="U628" s="8">
        <f t="shared" si="74"/>
        <v>0</v>
      </c>
      <c r="V628" s="8"/>
      <c r="W628" s="8"/>
      <c r="X628" s="8"/>
      <c r="Y628" s="8"/>
      <c r="Z628" s="8"/>
      <c r="AA628" s="8"/>
      <c r="AB628" s="8"/>
      <c r="AC628" s="8">
        <f t="shared" si="75"/>
        <v>0</v>
      </c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>
        <v>25453070</v>
      </c>
      <c r="AZ628" s="8"/>
      <c r="BA628" s="8">
        <f>VLOOKUP(B628,[1]Hoja3!J$3:K$674,2,0)</f>
        <v>63056318</v>
      </c>
      <c r="BB628" s="8"/>
      <c r="BC628" s="8">
        <f t="shared" si="76"/>
        <v>88509388</v>
      </c>
      <c r="BD628" s="4">
        <v>25453070</v>
      </c>
      <c r="BE628" s="4">
        <f t="shared" si="77"/>
        <v>63056318</v>
      </c>
      <c r="BF628" s="30">
        <f t="shared" si="78"/>
        <v>88509388</v>
      </c>
      <c r="BG628" s="18">
        <f t="shared" si="79"/>
        <v>0</v>
      </c>
      <c r="BH628" s="23"/>
      <c r="BI628" s="23"/>
      <c r="BJ628" s="23"/>
    </row>
    <row r="629" spans="1:66" ht="15" customHeight="1" x14ac:dyDescent="0.2">
      <c r="A629" s="1">
        <v>8000778087</v>
      </c>
      <c r="B629" s="1">
        <v>800077808</v>
      </c>
      <c r="C629" s="15">
        <v>218015480</v>
      </c>
      <c r="D629" s="16" t="s">
        <v>273</v>
      </c>
      <c r="E629" s="41" t="s">
        <v>1307</v>
      </c>
      <c r="F629" s="28"/>
      <c r="G629" s="17"/>
      <c r="H629" s="3"/>
      <c r="I629" s="2"/>
      <c r="J629" s="29"/>
      <c r="K629" s="3"/>
      <c r="L629" s="17"/>
      <c r="M629" s="34"/>
      <c r="N629" s="3"/>
      <c r="O629" s="17"/>
      <c r="P629" s="3"/>
      <c r="Q629" s="2"/>
      <c r="R629" s="3"/>
      <c r="S629" s="3"/>
      <c r="T629" s="17"/>
      <c r="U629" s="8">
        <f t="shared" si="74"/>
        <v>0</v>
      </c>
      <c r="V629" s="8"/>
      <c r="W629" s="8"/>
      <c r="X629" s="8"/>
      <c r="Y629" s="8"/>
      <c r="Z629" s="8"/>
      <c r="AA629" s="8"/>
      <c r="AB629" s="8"/>
      <c r="AC629" s="8">
        <f t="shared" si="75"/>
        <v>0</v>
      </c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>
        <v>74452970</v>
      </c>
      <c r="AZ629" s="8"/>
      <c r="BA629" s="8">
        <f>VLOOKUP(B629,[1]Hoja3!J$3:K$674,2,0)</f>
        <v>130148797</v>
      </c>
      <c r="BB629" s="8"/>
      <c r="BC629" s="8">
        <f t="shared" si="76"/>
        <v>204601767</v>
      </c>
      <c r="BD629" s="4">
        <v>74452970</v>
      </c>
      <c r="BE629" s="4">
        <f t="shared" si="77"/>
        <v>130148797</v>
      </c>
      <c r="BF629" s="30">
        <f t="shared" si="78"/>
        <v>204601767</v>
      </c>
      <c r="BG629" s="18">
        <f t="shared" si="79"/>
        <v>0</v>
      </c>
      <c r="BH629" s="23"/>
      <c r="BI629" s="14"/>
      <c r="BJ629" s="14"/>
      <c r="BK629" s="14"/>
      <c r="BL629" s="14"/>
      <c r="BM629" s="14"/>
      <c r="BN629" s="14"/>
    </row>
    <row r="630" spans="1:66" ht="15" customHeight="1" x14ac:dyDescent="0.2">
      <c r="A630" s="1">
        <v>8906803903</v>
      </c>
      <c r="B630" s="1">
        <v>890680390</v>
      </c>
      <c r="C630" s="15">
        <v>218325483</v>
      </c>
      <c r="D630" s="16" t="s">
        <v>2121</v>
      </c>
      <c r="E630" s="41" t="s">
        <v>1540</v>
      </c>
      <c r="F630" s="28"/>
      <c r="G630" s="2"/>
      <c r="H630" s="3"/>
      <c r="I630" s="2"/>
      <c r="J630" s="29"/>
      <c r="K630" s="3"/>
      <c r="L630" s="2"/>
      <c r="M630" s="8"/>
      <c r="N630" s="3"/>
      <c r="O630" s="2"/>
      <c r="P630" s="3"/>
      <c r="Q630" s="2"/>
      <c r="R630" s="3"/>
      <c r="S630" s="3"/>
      <c r="T630" s="2"/>
      <c r="U630" s="8">
        <f t="shared" si="74"/>
        <v>0</v>
      </c>
      <c r="V630" s="8"/>
      <c r="W630" s="8"/>
      <c r="X630" s="8"/>
      <c r="Y630" s="8"/>
      <c r="Z630" s="8"/>
      <c r="AA630" s="8"/>
      <c r="AB630" s="8"/>
      <c r="AC630" s="8">
        <f t="shared" si="75"/>
        <v>0</v>
      </c>
      <c r="AD630" s="8"/>
      <c r="AE630" s="8"/>
      <c r="AF630" s="8"/>
      <c r="AG630" s="8"/>
      <c r="AH630" s="8"/>
      <c r="AI630" s="8"/>
      <c r="AJ630" s="8"/>
      <c r="AK630" s="8"/>
      <c r="AL630" s="8"/>
      <c r="AM630" s="8">
        <v>25981969</v>
      </c>
      <c r="AN630" s="8">
        <f>SUBTOTAL(9,AC630:AM630)</f>
        <v>25981969</v>
      </c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>
        <v>17715935</v>
      </c>
      <c r="AZ630" s="8"/>
      <c r="BA630" s="8"/>
      <c r="BB630" s="8"/>
      <c r="BC630" s="8">
        <f t="shared" si="76"/>
        <v>43697904</v>
      </c>
      <c r="BD630" s="4">
        <v>17715935</v>
      </c>
      <c r="BE630" s="4">
        <f t="shared" si="77"/>
        <v>25981969</v>
      </c>
      <c r="BF630" s="30">
        <f t="shared" si="78"/>
        <v>43697904</v>
      </c>
      <c r="BG630" s="18">
        <f t="shared" si="79"/>
        <v>0</v>
      </c>
      <c r="BH630" s="23"/>
      <c r="BI630" s="23"/>
      <c r="BJ630" s="23"/>
    </row>
    <row r="631" spans="1:66" ht="15" customHeight="1" x14ac:dyDescent="0.2">
      <c r="A631" s="1">
        <v>8140037344</v>
      </c>
      <c r="B631" s="1">
        <v>814003734</v>
      </c>
      <c r="C631" s="15">
        <v>218052480</v>
      </c>
      <c r="D631" s="16" t="s">
        <v>2134</v>
      </c>
      <c r="E631" s="41" t="s">
        <v>1751</v>
      </c>
      <c r="F631" s="28"/>
      <c r="G631" s="17"/>
      <c r="H631" s="3"/>
      <c r="I631" s="2"/>
      <c r="J631" s="29"/>
      <c r="K631" s="3"/>
      <c r="L631" s="17"/>
      <c r="M631" s="34"/>
      <c r="N631" s="3"/>
      <c r="O631" s="17"/>
      <c r="P631" s="3"/>
      <c r="Q631" s="2"/>
      <c r="R631" s="3"/>
      <c r="S631" s="3"/>
      <c r="T631" s="17"/>
      <c r="U631" s="8">
        <f t="shared" si="74"/>
        <v>0</v>
      </c>
      <c r="V631" s="8"/>
      <c r="W631" s="8"/>
      <c r="X631" s="8"/>
      <c r="Y631" s="8"/>
      <c r="Z631" s="8"/>
      <c r="AA631" s="8"/>
      <c r="AB631" s="8"/>
      <c r="AC631" s="8">
        <f t="shared" si="75"/>
        <v>0</v>
      </c>
      <c r="AD631" s="8"/>
      <c r="AE631" s="8"/>
      <c r="AF631" s="8"/>
      <c r="AG631" s="8"/>
      <c r="AH631" s="8"/>
      <c r="AI631" s="8"/>
      <c r="AJ631" s="8"/>
      <c r="AK631" s="8"/>
      <c r="AL631" s="8"/>
      <c r="AM631" s="8">
        <v>46531643</v>
      </c>
      <c r="AN631" s="8">
        <f>SUBTOTAL(9,AC631:AM631)</f>
        <v>46531643</v>
      </c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>
        <f t="shared" si="76"/>
        <v>46531643</v>
      </c>
      <c r="BD631" s="4"/>
      <c r="BE631" s="4">
        <f t="shared" si="77"/>
        <v>46531643</v>
      </c>
      <c r="BF631" s="30">
        <f t="shared" si="78"/>
        <v>46531643</v>
      </c>
      <c r="BG631" s="18">
        <f t="shared" si="79"/>
        <v>0</v>
      </c>
      <c r="BH631" s="23"/>
      <c r="BI631" s="14"/>
      <c r="BJ631" s="14"/>
      <c r="BK631" s="14"/>
      <c r="BL631" s="14"/>
      <c r="BM631" s="14"/>
      <c r="BN631" s="14"/>
    </row>
    <row r="632" spans="1:66" ht="15" customHeight="1" x14ac:dyDescent="0.2">
      <c r="A632" s="1">
        <v>8909825669</v>
      </c>
      <c r="B632" s="1">
        <v>890982566</v>
      </c>
      <c r="C632" s="15">
        <v>218305483</v>
      </c>
      <c r="D632" s="16" t="s">
        <v>111</v>
      </c>
      <c r="E632" s="41" t="s">
        <v>1142</v>
      </c>
      <c r="F632" s="28"/>
      <c r="G632" s="17"/>
      <c r="H632" s="3"/>
      <c r="I632" s="2"/>
      <c r="J632" s="29"/>
      <c r="K632" s="3"/>
      <c r="L632" s="17"/>
      <c r="M632" s="34"/>
      <c r="N632" s="3"/>
      <c r="O632" s="17"/>
      <c r="P632" s="3"/>
      <c r="Q632" s="2"/>
      <c r="R632" s="3"/>
      <c r="S632" s="3"/>
      <c r="T632" s="17"/>
      <c r="U632" s="8">
        <f t="shared" si="74"/>
        <v>0</v>
      </c>
      <c r="V632" s="8"/>
      <c r="W632" s="8"/>
      <c r="X632" s="8"/>
      <c r="Y632" s="8"/>
      <c r="Z632" s="8"/>
      <c r="AA632" s="8"/>
      <c r="AB632" s="8"/>
      <c r="AC632" s="8">
        <f t="shared" si="75"/>
        <v>0</v>
      </c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>
        <f>VLOOKUP(B632,[1]Hoja3!J$3:K$674,2,0)</f>
        <v>156049340</v>
      </c>
      <c r="BB632" s="8"/>
      <c r="BC632" s="8">
        <f t="shared" si="76"/>
        <v>156049340</v>
      </c>
      <c r="BD632" s="4"/>
      <c r="BE632" s="4">
        <f t="shared" si="77"/>
        <v>156049340</v>
      </c>
      <c r="BF632" s="30">
        <f t="shared" si="78"/>
        <v>156049340</v>
      </c>
      <c r="BG632" s="18">
        <f t="shared" si="79"/>
        <v>0</v>
      </c>
      <c r="BH632" s="23"/>
      <c r="BI632" s="14"/>
      <c r="BJ632" s="14"/>
      <c r="BK632" s="14"/>
      <c r="BL632" s="14"/>
      <c r="BM632" s="14"/>
      <c r="BN632" s="14"/>
    </row>
    <row r="633" spans="1:66" ht="15" customHeight="1" x14ac:dyDescent="0.2">
      <c r="A633" s="1">
        <v>8911028440</v>
      </c>
      <c r="B633" s="1">
        <v>891102844</v>
      </c>
      <c r="C633" s="15">
        <v>218341483</v>
      </c>
      <c r="D633" s="16" t="s">
        <v>610</v>
      </c>
      <c r="E633" s="41" t="s">
        <v>1630</v>
      </c>
      <c r="F633" s="28"/>
      <c r="G633" s="2"/>
      <c r="H633" s="3"/>
      <c r="I633" s="2"/>
      <c r="J633" s="29"/>
      <c r="K633" s="3"/>
      <c r="L633" s="2"/>
      <c r="M633" s="8"/>
      <c r="N633" s="3"/>
      <c r="O633" s="2"/>
      <c r="P633" s="3"/>
      <c r="Q633" s="2"/>
      <c r="R633" s="3"/>
      <c r="S633" s="3"/>
      <c r="T633" s="2"/>
      <c r="U633" s="8">
        <f t="shared" si="74"/>
        <v>0</v>
      </c>
      <c r="V633" s="8"/>
      <c r="W633" s="8"/>
      <c r="X633" s="8"/>
      <c r="Y633" s="8"/>
      <c r="Z633" s="8"/>
      <c r="AA633" s="8"/>
      <c r="AB633" s="8"/>
      <c r="AC633" s="8">
        <f t="shared" si="75"/>
        <v>0</v>
      </c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>
        <f>VLOOKUP(B633,[1]Hoja3!J$3:K$674,2,0)</f>
        <v>110625395</v>
      </c>
      <c r="BB633" s="8"/>
      <c r="BC633" s="8">
        <f t="shared" si="76"/>
        <v>110625395</v>
      </c>
      <c r="BD633" s="4"/>
      <c r="BE633" s="4">
        <f t="shared" si="77"/>
        <v>110625395</v>
      </c>
      <c r="BF633" s="30">
        <f t="shared" si="78"/>
        <v>110625395</v>
      </c>
      <c r="BG633" s="18">
        <f t="shared" si="79"/>
        <v>0</v>
      </c>
      <c r="BH633" s="23"/>
      <c r="BI633" s="23"/>
      <c r="BJ633" s="23"/>
    </row>
    <row r="634" spans="1:66" ht="15" customHeight="1" x14ac:dyDescent="0.2">
      <c r="A634" s="1">
        <v>8001001341</v>
      </c>
      <c r="B634" s="1">
        <v>800100134</v>
      </c>
      <c r="C634" s="15">
        <v>218373483</v>
      </c>
      <c r="D634" s="16" t="s">
        <v>2230</v>
      </c>
      <c r="E634" s="41" t="s">
        <v>1955</v>
      </c>
      <c r="F634" s="28"/>
      <c r="G634" s="2"/>
      <c r="H634" s="3"/>
      <c r="I634" s="2"/>
      <c r="J634" s="29"/>
      <c r="K634" s="3"/>
      <c r="L634" s="2"/>
      <c r="M634" s="8"/>
      <c r="N634" s="3"/>
      <c r="O634" s="2"/>
      <c r="P634" s="3"/>
      <c r="Q634" s="2"/>
      <c r="R634" s="3"/>
      <c r="S634" s="3"/>
      <c r="T634" s="2"/>
      <c r="U634" s="8">
        <f t="shared" si="74"/>
        <v>0</v>
      </c>
      <c r="V634" s="8"/>
      <c r="W634" s="8"/>
      <c r="X634" s="8"/>
      <c r="Y634" s="8"/>
      <c r="Z634" s="8"/>
      <c r="AA634" s="8"/>
      <c r="AB634" s="8"/>
      <c r="AC634" s="8">
        <f t="shared" si="75"/>
        <v>0</v>
      </c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>
        <v>135504340</v>
      </c>
      <c r="AZ634" s="8"/>
      <c r="BA634" s="8">
        <f>VLOOKUP(B634,[1]Hoja3!J$3:K$674,2,0)</f>
        <v>228656975</v>
      </c>
      <c r="BB634" s="8"/>
      <c r="BC634" s="8">
        <f t="shared" si="76"/>
        <v>364161315</v>
      </c>
      <c r="BD634" s="4">
        <v>135504340</v>
      </c>
      <c r="BE634" s="4">
        <f t="shared" si="77"/>
        <v>228656975</v>
      </c>
      <c r="BF634" s="30">
        <f t="shared" si="78"/>
        <v>364161315</v>
      </c>
      <c r="BG634" s="18">
        <f t="shared" si="79"/>
        <v>0</v>
      </c>
      <c r="BH634" s="23"/>
      <c r="BI634" s="23"/>
      <c r="BJ634" s="23"/>
    </row>
    <row r="635" spans="1:66" ht="15" customHeight="1" x14ac:dyDescent="0.2">
      <c r="A635" s="1">
        <v>8909853548</v>
      </c>
      <c r="B635" s="1">
        <v>890985354</v>
      </c>
      <c r="C635" s="15">
        <v>219505495</v>
      </c>
      <c r="D635" s="16" t="s">
        <v>113</v>
      </c>
      <c r="E635" s="41" t="s">
        <v>1144</v>
      </c>
      <c r="F635" s="28"/>
      <c r="G635" s="2"/>
      <c r="H635" s="3"/>
      <c r="I635" s="2"/>
      <c r="J635" s="29"/>
      <c r="K635" s="3"/>
      <c r="L635" s="2"/>
      <c r="M635" s="8"/>
      <c r="N635" s="3"/>
      <c r="O635" s="2"/>
      <c r="P635" s="3"/>
      <c r="Q635" s="2"/>
      <c r="R635" s="3"/>
      <c r="S635" s="3"/>
      <c r="T635" s="2"/>
      <c r="U635" s="8">
        <f t="shared" si="74"/>
        <v>0</v>
      </c>
      <c r="V635" s="8"/>
      <c r="W635" s="8"/>
      <c r="X635" s="8"/>
      <c r="Y635" s="8"/>
      <c r="Z635" s="8"/>
      <c r="AA635" s="8"/>
      <c r="AB635" s="8"/>
      <c r="AC635" s="8">
        <f t="shared" si="75"/>
        <v>0</v>
      </c>
      <c r="AD635" s="8"/>
      <c r="AE635" s="8"/>
      <c r="AF635" s="8"/>
      <c r="AG635" s="8"/>
      <c r="AH635" s="8"/>
      <c r="AI635" s="8"/>
      <c r="AJ635" s="8"/>
      <c r="AK635" s="8"/>
      <c r="AL635" s="8"/>
      <c r="AM635" s="8">
        <v>36479586</v>
      </c>
      <c r="AN635" s="8">
        <f>SUBTOTAL(9,AC635:AM635)</f>
        <v>36479586</v>
      </c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>
        <f>VLOOKUP(B635,[1]Hoja3!J$3:K$674,2,0)</f>
        <v>392560881</v>
      </c>
      <c r="BB635" s="8"/>
      <c r="BC635" s="8">
        <f t="shared" si="76"/>
        <v>429040467</v>
      </c>
      <c r="BD635" s="4"/>
      <c r="BE635" s="4">
        <f t="shared" si="77"/>
        <v>429040467</v>
      </c>
      <c r="BF635" s="30">
        <f t="shared" si="78"/>
        <v>429040467</v>
      </c>
      <c r="BG635" s="18">
        <f t="shared" si="79"/>
        <v>0</v>
      </c>
      <c r="BH635" s="23"/>
      <c r="BI635" s="23"/>
      <c r="BJ635" s="23"/>
    </row>
    <row r="636" spans="1:66" ht="15" customHeight="1" x14ac:dyDescent="0.2">
      <c r="A636" s="1">
        <v>8909838731</v>
      </c>
      <c r="B636" s="1">
        <v>890983873</v>
      </c>
      <c r="C636" s="15">
        <v>219005490</v>
      </c>
      <c r="D636" s="16" t="s">
        <v>112</v>
      </c>
      <c r="E636" s="41" t="s">
        <v>1143</v>
      </c>
      <c r="F636" s="28"/>
      <c r="G636" s="2"/>
      <c r="H636" s="3"/>
      <c r="I636" s="2"/>
      <c r="J636" s="29"/>
      <c r="K636" s="3"/>
      <c r="L636" s="2"/>
      <c r="M636" s="8"/>
      <c r="N636" s="3"/>
      <c r="O636" s="2"/>
      <c r="P636" s="3"/>
      <c r="Q636" s="2"/>
      <c r="R636" s="3"/>
      <c r="S636" s="3"/>
      <c r="T636" s="2"/>
      <c r="U636" s="8">
        <f t="shared" si="74"/>
        <v>0</v>
      </c>
      <c r="V636" s="8"/>
      <c r="W636" s="8"/>
      <c r="X636" s="8"/>
      <c r="Y636" s="8"/>
      <c r="Z636" s="8"/>
      <c r="AA636" s="8"/>
      <c r="AB636" s="8"/>
      <c r="AC636" s="8">
        <f t="shared" si="75"/>
        <v>0</v>
      </c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>
        <v>737229400</v>
      </c>
      <c r="AZ636" s="8"/>
      <c r="BA636" s="8">
        <f>VLOOKUP(B636,[1]Hoja3!J$3:K$674,2,0)</f>
        <v>987459059</v>
      </c>
      <c r="BB636" s="8"/>
      <c r="BC636" s="8">
        <f t="shared" si="76"/>
        <v>1724688459</v>
      </c>
      <c r="BD636" s="4">
        <v>737229400</v>
      </c>
      <c r="BE636" s="4">
        <f t="shared" si="77"/>
        <v>987459059</v>
      </c>
      <c r="BF636" s="30">
        <f t="shared" si="78"/>
        <v>1724688459</v>
      </c>
      <c r="BG636" s="18">
        <f t="shared" si="79"/>
        <v>0</v>
      </c>
      <c r="BH636" s="23"/>
      <c r="BI636" s="23"/>
      <c r="BJ636" s="23"/>
    </row>
    <row r="637" spans="1:66" ht="15" customHeight="1" x14ac:dyDescent="0.2">
      <c r="A637" s="1">
        <v>8908011352</v>
      </c>
      <c r="B637" s="1">
        <v>890801135</v>
      </c>
      <c r="C637" s="15">
        <v>218617486</v>
      </c>
      <c r="D637" s="16" t="s">
        <v>348</v>
      </c>
      <c r="E637" s="41" t="s">
        <v>1378</v>
      </c>
      <c r="F637" s="28"/>
      <c r="G637" s="2"/>
      <c r="H637" s="3"/>
      <c r="I637" s="2"/>
      <c r="J637" s="29"/>
      <c r="K637" s="3"/>
      <c r="L637" s="2"/>
      <c r="M637" s="8"/>
      <c r="N637" s="3"/>
      <c r="O637" s="2"/>
      <c r="P637" s="3"/>
      <c r="Q637" s="2"/>
      <c r="R637" s="3"/>
      <c r="S637" s="3"/>
      <c r="T637" s="2"/>
      <c r="U637" s="8">
        <f t="shared" si="74"/>
        <v>0</v>
      </c>
      <c r="V637" s="8"/>
      <c r="W637" s="8"/>
      <c r="X637" s="8"/>
      <c r="Y637" s="8"/>
      <c r="Z637" s="8"/>
      <c r="AA637" s="8"/>
      <c r="AB637" s="8"/>
      <c r="AC637" s="8">
        <f t="shared" si="75"/>
        <v>0</v>
      </c>
      <c r="AD637" s="8"/>
      <c r="AE637" s="8"/>
      <c r="AF637" s="8"/>
      <c r="AG637" s="8"/>
      <c r="AH637" s="8"/>
      <c r="AI637" s="8"/>
      <c r="AJ637" s="8"/>
      <c r="AK637" s="8"/>
      <c r="AL637" s="8"/>
      <c r="AM637" s="8">
        <v>304110971</v>
      </c>
      <c r="AN637" s="8">
        <f t="shared" ref="AN637:AN643" si="81">SUBTOTAL(9,AC637:AM637)</f>
        <v>304110971</v>
      </c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>
        <v>152538550</v>
      </c>
      <c r="AZ637" s="8"/>
      <c r="BA637" s="8"/>
      <c r="BB637" s="8"/>
      <c r="BC637" s="8">
        <f t="shared" si="76"/>
        <v>456649521</v>
      </c>
      <c r="BD637" s="4">
        <v>152538550</v>
      </c>
      <c r="BE637" s="4">
        <f t="shared" si="77"/>
        <v>304110971</v>
      </c>
      <c r="BF637" s="30">
        <f t="shared" si="78"/>
        <v>456649521</v>
      </c>
      <c r="BG637" s="18">
        <f t="shared" si="79"/>
        <v>0</v>
      </c>
      <c r="BH637" s="23"/>
      <c r="BI637" s="23"/>
      <c r="BJ637" s="23"/>
    </row>
    <row r="638" spans="1:66" ht="15" customHeight="1" x14ac:dyDescent="0.2">
      <c r="A638" s="1">
        <v>8999993661</v>
      </c>
      <c r="B638" s="1">
        <v>899999366</v>
      </c>
      <c r="C638" s="15">
        <v>218625486</v>
      </c>
      <c r="D638" s="16" t="s">
        <v>515</v>
      </c>
      <c r="E638" s="41" t="s">
        <v>1541</v>
      </c>
      <c r="F638" s="28"/>
      <c r="G638" s="2"/>
      <c r="H638" s="3"/>
      <c r="I638" s="2"/>
      <c r="J638" s="29"/>
      <c r="K638" s="3"/>
      <c r="L638" s="2"/>
      <c r="M638" s="8"/>
      <c r="N638" s="3"/>
      <c r="O638" s="2"/>
      <c r="P638" s="3"/>
      <c r="Q638" s="2"/>
      <c r="R638" s="3"/>
      <c r="S638" s="3"/>
      <c r="T638" s="2"/>
      <c r="U638" s="8">
        <f t="shared" si="74"/>
        <v>0</v>
      </c>
      <c r="V638" s="8"/>
      <c r="W638" s="8"/>
      <c r="X638" s="8"/>
      <c r="Y638" s="8"/>
      <c r="Z638" s="8"/>
      <c r="AA638" s="8"/>
      <c r="AB638" s="8"/>
      <c r="AC638" s="8">
        <f t="shared" si="75"/>
        <v>0</v>
      </c>
      <c r="AD638" s="8"/>
      <c r="AE638" s="8"/>
      <c r="AF638" s="8"/>
      <c r="AG638" s="8"/>
      <c r="AH638" s="8"/>
      <c r="AI638" s="8"/>
      <c r="AJ638" s="8"/>
      <c r="AK638" s="8"/>
      <c r="AL638" s="8"/>
      <c r="AM638" s="8">
        <v>185657928</v>
      </c>
      <c r="AN638" s="8">
        <f t="shared" si="81"/>
        <v>185657928</v>
      </c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>
        <v>78746685</v>
      </c>
      <c r="AZ638" s="8"/>
      <c r="BA638" s="8"/>
      <c r="BB638" s="8"/>
      <c r="BC638" s="8">
        <f t="shared" si="76"/>
        <v>264404613</v>
      </c>
      <c r="BD638" s="4">
        <v>78746685</v>
      </c>
      <c r="BE638" s="4">
        <f t="shared" si="77"/>
        <v>185657928</v>
      </c>
      <c r="BF638" s="30">
        <f t="shared" si="78"/>
        <v>264404613</v>
      </c>
      <c r="BG638" s="18">
        <f t="shared" si="79"/>
        <v>0</v>
      </c>
      <c r="BH638" s="23"/>
      <c r="BI638" s="23"/>
      <c r="BJ638" s="23"/>
    </row>
    <row r="639" spans="1:66" ht="15" customHeight="1" x14ac:dyDescent="0.2">
      <c r="A639" s="1">
        <v>8999997078</v>
      </c>
      <c r="B639" s="1">
        <v>899999707</v>
      </c>
      <c r="C639" s="15">
        <v>218825488</v>
      </c>
      <c r="D639" s="16" t="s">
        <v>516</v>
      </c>
      <c r="E639" s="41" t="s">
        <v>1542</v>
      </c>
      <c r="F639" s="28"/>
      <c r="G639" s="2"/>
      <c r="H639" s="3"/>
      <c r="I639" s="2"/>
      <c r="J639" s="29"/>
      <c r="K639" s="3"/>
      <c r="L639" s="2"/>
      <c r="M639" s="8"/>
      <c r="N639" s="3"/>
      <c r="O639" s="2"/>
      <c r="P639" s="3"/>
      <c r="Q639" s="2"/>
      <c r="R639" s="3"/>
      <c r="S639" s="3"/>
      <c r="T639" s="2"/>
      <c r="U639" s="8">
        <f t="shared" si="74"/>
        <v>0</v>
      </c>
      <c r="V639" s="8"/>
      <c r="W639" s="8"/>
      <c r="X639" s="8"/>
      <c r="Y639" s="8"/>
      <c r="Z639" s="8"/>
      <c r="AA639" s="8"/>
      <c r="AB639" s="8"/>
      <c r="AC639" s="8">
        <f t="shared" si="75"/>
        <v>0</v>
      </c>
      <c r="AD639" s="8"/>
      <c r="AE639" s="8"/>
      <c r="AF639" s="8"/>
      <c r="AG639" s="8"/>
      <c r="AH639" s="8"/>
      <c r="AI639" s="8"/>
      <c r="AJ639" s="8"/>
      <c r="AK639" s="8"/>
      <c r="AL639" s="8"/>
      <c r="AM639" s="8">
        <v>112928578</v>
      </c>
      <c r="AN639" s="8">
        <f t="shared" si="81"/>
        <v>112928578</v>
      </c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>
        <v>39706160</v>
      </c>
      <c r="AZ639" s="8"/>
      <c r="BA639" s="8"/>
      <c r="BB639" s="8"/>
      <c r="BC639" s="8">
        <f t="shared" si="76"/>
        <v>152634738</v>
      </c>
      <c r="BD639" s="4">
        <v>39706160</v>
      </c>
      <c r="BE639" s="4">
        <f t="shared" si="77"/>
        <v>112928578</v>
      </c>
      <c r="BF639" s="30">
        <f t="shared" si="78"/>
        <v>152634738</v>
      </c>
      <c r="BG639" s="18">
        <f t="shared" si="79"/>
        <v>0</v>
      </c>
      <c r="BH639" s="23"/>
      <c r="BI639" s="23"/>
      <c r="BJ639" s="23"/>
    </row>
    <row r="640" spans="1:66" ht="15" customHeight="1" x14ac:dyDescent="0.2">
      <c r="A640" s="1">
        <v>8000947138</v>
      </c>
      <c r="B640" s="1">
        <v>800094713</v>
      </c>
      <c r="C640" s="15">
        <v>218925489</v>
      </c>
      <c r="D640" s="16" t="s">
        <v>517</v>
      </c>
      <c r="E640" s="41" t="s">
        <v>1543</v>
      </c>
      <c r="F640" s="28"/>
      <c r="G640" s="2"/>
      <c r="H640" s="3"/>
      <c r="I640" s="2"/>
      <c r="J640" s="29"/>
      <c r="K640" s="3"/>
      <c r="L640" s="2"/>
      <c r="M640" s="8"/>
      <c r="N640" s="3"/>
      <c r="O640" s="2"/>
      <c r="P640" s="3"/>
      <c r="Q640" s="2"/>
      <c r="R640" s="3"/>
      <c r="S640" s="3"/>
      <c r="T640" s="2"/>
      <c r="U640" s="8">
        <f t="shared" si="74"/>
        <v>0</v>
      </c>
      <c r="V640" s="8"/>
      <c r="W640" s="8"/>
      <c r="X640" s="8"/>
      <c r="Y640" s="8"/>
      <c r="Z640" s="8"/>
      <c r="AA640" s="8"/>
      <c r="AB640" s="8"/>
      <c r="AC640" s="8">
        <f t="shared" si="75"/>
        <v>0</v>
      </c>
      <c r="AD640" s="8"/>
      <c r="AE640" s="8"/>
      <c r="AF640" s="8"/>
      <c r="AG640" s="8"/>
      <c r="AH640" s="8"/>
      <c r="AI640" s="8"/>
      <c r="AJ640" s="8"/>
      <c r="AK640" s="8"/>
      <c r="AL640" s="8"/>
      <c r="AM640" s="8">
        <v>45757333</v>
      </c>
      <c r="AN640" s="8">
        <f t="shared" si="81"/>
        <v>45757333</v>
      </c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>
        <f t="shared" si="76"/>
        <v>45757333</v>
      </c>
      <c r="BD640" s="4"/>
      <c r="BE640" s="4">
        <f t="shared" si="77"/>
        <v>45757333</v>
      </c>
      <c r="BF640" s="30">
        <f t="shared" si="78"/>
        <v>45757333</v>
      </c>
      <c r="BG640" s="18">
        <f t="shared" si="79"/>
        <v>0</v>
      </c>
      <c r="BH640" s="23"/>
      <c r="BI640" s="23"/>
      <c r="BJ640" s="23"/>
    </row>
    <row r="641" spans="1:66" ht="15" customHeight="1" x14ac:dyDescent="0.2">
      <c r="A641" s="1">
        <v>8918552220</v>
      </c>
      <c r="B641" s="1">
        <v>891855222</v>
      </c>
      <c r="C641" s="15">
        <v>219115491</v>
      </c>
      <c r="D641" s="16" t="s">
        <v>274</v>
      </c>
      <c r="E641" s="41" t="s">
        <v>1308</v>
      </c>
      <c r="F641" s="28"/>
      <c r="G641" s="17"/>
      <c r="H641" s="3"/>
      <c r="I641" s="2"/>
      <c r="J641" s="29"/>
      <c r="K641" s="3"/>
      <c r="L641" s="17"/>
      <c r="M641" s="34"/>
      <c r="N641" s="3"/>
      <c r="O641" s="17"/>
      <c r="P641" s="3"/>
      <c r="Q641" s="2"/>
      <c r="R641" s="3"/>
      <c r="S641" s="3"/>
      <c r="T641" s="17"/>
      <c r="U641" s="8">
        <f t="shared" si="74"/>
        <v>0</v>
      </c>
      <c r="V641" s="8"/>
      <c r="W641" s="8"/>
      <c r="X641" s="8"/>
      <c r="Y641" s="8"/>
      <c r="Z641" s="8"/>
      <c r="AA641" s="8"/>
      <c r="AB641" s="8"/>
      <c r="AC641" s="8">
        <f t="shared" si="75"/>
        <v>0</v>
      </c>
      <c r="AD641" s="8"/>
      <c r="AE641" s="8"/>
      <c r="AF641" s="8"/>
      <c r="AG641" s="8"/>
      <c r="AH641" s="8"/>
      <c r="AI641" s="8"/>
      <c r="AJ641" s="8"/>
      <c r="AK641" s="8"/>
      <c r="AL641" s="8"/>
      <c r="AM641" s="8">
        <v>170307014</v>
      </c>
      <c r="AN641" s="8">
        <f t="shared" si="81"/>
        <v>170307014</v>
      </c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>
        <v>82781895</v>
      </c>
      <c r="AZ641" s="8"/>
      <c r="BA641" s="8"/>
      <c r="BB641" s="8"/>
      <c r="BC641" s="8">
        <f t="shared" si="76"/>
        <v>253088909</v>
      </c>
      <c r="BD641" s="4">
        <v>82781895</v>
      </c>
      <c r="BE641" s="4">
        <f t="shared" si="77"/>
        <v>170307014</v>
      </c>
      <c r="BF641" s="30">
        <f t="shared" si="78"/>
        <v>253088909</v>
      </c>
      <c r="BG641" s="18">
        <f t="shared" si="79"/>
        <v>0</v>
      </c>
      <c r="BH641" s="23"/>
      <c r="BI641" s="14"/>
      <c r="BJ641" s="14"/>
      <c r="BK641" s="14"/>
      <c r="BL641" s="14"/>
      <c r="BM641" s="14"/>
      <c r="BN641" s="14"/>
    </row>
    <row r="642" spans="1:66" ht="15" customHeight="1" x14ac:dyDescent="0.2">
      <c r="A642" s="1">
        <v>8999997189</v>
      </c>
      <c r="B642" s="1">
        <v>899999718</v>
      </c>
      <c r="C642" s="15">
        <v>219125491</v>
      </c>
      <c r="D642" s="16" t="s">
        <v>518</v>
      </c>
      <c r="E642" s="41" t="s">
        <v>1544</v>
      </c>
      <c r="F642" s="28"/>
      <c r="G642" s="2"/>
      <c r="H642" s="3"/>
      <c r="I642" s="2"/>
      <c r="J642" s="29"/>
      <c r="K642" s="3"/>
      <c r="L642" s="2"/>
      <c r="M642" s="8"/>
      <c r="N642" s="3"/>
      <c r="O642" s="2"/>
      <c r="P642" s="3"/>
      <c r="Q642" s="2"/>
      <c r="R642" s="3"/>
      <c r="S642" s="3"/>
      <c r="T642" s="2"/>
      <c r="U642" s="8">
        <f t="shared" si="74"/>
        <v>0</v>
      </c>
      <c r="V642" s="8"/>
      <c r="W642" s="8"/>
      <c r="X642" s="8"/>
      <c r="Y642" s="8"/>
      <c r="Z642" s="8"/>
      <c r="AA642" s="8"/>
      <c r="AB642" s="8"/>
      <c r="AC642" s="8">
        <f t="shared" si="75"/>
        <v>0</v>
      </c>
      <c r="AD642" s="8"/>
      <c r="AE642" s="8"/>
      <c r="AF642" s="8"/>
      <c r="AG642" s="8"/>
      <c r="AH642" s="8"/>
      <c r="AI642" s="8"/>
      <c r="AJ642" s="8"/>
      <c r="AK642" s="8"/>
      <c r="AL642" s="8"/>
      <c r="AM642" s="8">
        <v>75925825</v>
      </c>
      <c r="AN642" s="8">
        <f t="shared" si="81"/>
        <v>75925825</v>
      </c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>
        <f t="shared" si="76"/>
        <v>75925825</v>
      </c>
      <c r="BD642" s="4"/>
      <c r="BE642" s="4">
        <f t="shared" si="77"/>
        <v>75925825</v>
      </c>
      <c r="BF642" s="30">
        <f t="shared" si="78"/>
        <v>75925825</v>
      </c>
      <c r="BG642" s="18">
        <f t="shared" si="79"/>
        <v>0</v>
      </c>
      <c r="BH642" s="23"/>
      <c r="BI642" s="23"/>
      <c r="BJ642" s="23"/>
    </row>
    <row r="643" spans="1:66" ht="15" customHeight="1" x14ac:dyDescent="0.2">
      <c r="A643" s="1">
        <v>8100029635</v>
      </c>
      <c r="B643" s="1">
        <v>810002963</v>
      </c>
      <c r="C643" s="15">
        <v>219517495</v>
      </c>
      <c r="D643" s="16" t="s">
        <v>349</v>
      </c>
      <c r="E643" s="41" t="s">
        <v>1379</v>
      </c>
      <c r="F643" s="28"/>
      <c r="G643" s="2"/>
      <c r="H643" s="3"/>
      <c r="I643" s="2"/>
      <c r="J643" s="29"/>
      <c r="K643" s="3"/>
      <c r="L643" s="2"/>
      <c r="M643" s="8"/>
      <c r="N643" s="3"/>
      <c r="O643" s="2"/>
      <c r="P643" s="3"/>
      <c r="Q643" s="2"/>
      <c r="R643" s="3"/>
      <c r="S643" s="3"/>
      <c r="T643" s="2"/>
      <c r="U643" s="8">
        <f t="shared" ref="U643:U706" si="82">SUM(M643:T643)</f>
        <v>0</v>
      </c>
      <c r="V643" s="8"/>
      <c r="W643" s="8"/>
      <c r="X643" s="8"/>
      <c r="Y643" s="8"/>
      <c r="Z643" s="8"/>
      <c r="AA643" s="8"/>
      <c r="AB643" s="8"/>
      <c r="AC643" s="8">
        <f t="shared" si="75"/>
        <v>0</v>
      </c>
      <c r="AD643" s="8"/>
      <c r="AE643" s="8"/>
      <c r="AF643" s="8"/>
      <c r="AG643" s="8"/>
      <c r="AH643" s="8"/>
      <c r="AI643" s="8"/>
      <c r="AJ643" s="8"/>
      <c r="AK643" s="8"/>
      <c r="AL643" s="8"/>
      <c r="AM643" s="8">
        <v>104796373</v>
      </c>
      <c r="AN643" s="8">
        <f t="shared" si="81"/>
        <v>104796373</v>
      </c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>
        <v>50079530</v>
      </c>
      <c r="AZ643" s="8"/>
      <c r="BA643" s="8"/>
      <c r="BB643" s="8"/>
      <c r="BC643" s="8">
        <f t="shared" si="76"/>
        <v>154875903</v>
      </c>
      <c r="BD643" s="4">
        <v>50079530</v>
      </c>
      <c r="BE643" s="4">
        <f t="shared" si="77"/>
        <v>104796373</v>
      </c>
      <c r="BF643" s="30">
        <f t="shared" si="78"/>
        <v>154875903</v>
      </c>
      <c r="BG643" s="18">
        <f t="shared" si="79"/>
        <v>0</v>
      </c>
      <c r="BH643" s="23"/>
      <c r="BI643" s="23"/>
      <c r="BJ643" s="23"/>
    </row>
    <row r="644" spans="1:66" ht="15" hidden="1" customHeight="1" x14ac:dyDescent="0.2">
      <c r="A644" s="1">
        <v>9001928336</v>
      </c>
      <c r="B644" s="1">
        <v>900192833</v>
      </c>
      <c r="C644" s="15">
        <v>923271489</v>
      </c>
      <c r="D644" s="16" t="s">
        <v>216</v>
      </c>
      <c r="E644" s="41" t="s">
        <v>1251</v>
      </c>
      <c r="F644" s="28"/>
      <c r="G644" s="17"/>
      <c r="H644" s="3"/>
      <c r="I644" s="2"/>
      <c r="J644" s="29"/>
      <c r="K644" s="3"/>
      <c r="L644" s="17"/>
      <c r="M644" s="34"/>
      <c r="N644" s="3"/>
      <c r="O644" s="17"/>
      <c r="P644" s="3"/>
      <c r="Q644" s="2"/>
      <c r="R644" s="3"/>
      <c r="S644" s="3"/>
      <c r="T644" s="17"/>
      <c r="U644" s="8">
        <f t="shared" si="82"/>
        <v>0</v>
      </c>
      <c r="V644" s="8"/>
      <c r="W644" s="8"/>
      <c r="X644" s="8"/>
      <c r="Y644" s="8"/>
      <c r="Z644" s="8"/>
      <c r="AA644" s="8"/>
      <c r="AB644" s="8"/>
      <c r="AC644" s="8">
        <f t="shared" ref="AC644:AC707" si="83">SUM(U644:AB644)</f>
        <v>0</v>
      </c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>
        <f t="shared" ref="BC644:BC707" si="84">SUM(AN644:BA644)-BB644</f>
        <v>0</v>
      </c>
      <c r="BD644" s="4"/>
      <c r="BE644" s="4">
        <f t="shared" ref="BE644:BE707" si="85">+AM644+BA644-BB644</f>
        <v>0</v>
      </c>
      <c r="BF644" s="30">
        <f t="shared" ref="BF644:BF707" si="86">+BD644+BE644</f>
        <v>0</v>
      </c>
      <c r="BG644" s="18">
        <f t="shared" ref="BG644:BG707" si="87">+BC644-BF644</f>
        <v>0</v>
      </c>
      <c r="BH644" s="23"/>
      <c r="BI644" s="14"/>
      <c r="BJ644" s="14"/>
      <c r="BK644" s="14"/>
      <c r="BL644" s="14"/>
      <c r="BM644" s="14"/>
      <c r="BN644" s="14"/>
    </row>
    <row r="645" spans="1:66" ht="15" customHeight="1" x14ac:dyDescent="0.2">
      <c r="A645" s="1">
        <v>8916800751</v>
      </c>
      <c r="B645" s="1">
        <v>891680075</v>
      </c>
      <c r="C645" s="15">
        <v>219127491</v>
      </c>
      <c r="D645" s="16" t="s">
        <v>585</v>
      </c>
      <c r="E645" s="41" t="s">
        <v>1606</v>
      </c>
      <c r="F645" s="28"/>
      <c r="G645" s="2"/>
      <c r="H645" s="3"/>
      <c r="I645" s="2"/>
      <c r="J645" s="29"/>
      <c r="K645" s="3"/>
      <c r="L645" s="2"/>
      <c r="M645" s="8"/>
      <c r="N645" s="3"/>
      <c r="O645" s="2"/>
      <c r="P645" s="3"/>
      <c r="Q645" s="2"/>
      <c r="R645" s="3"/>
      <c r="S645" s="3"/>
      <c r="T645" s="2"/>
      <c r="U645" s="8">
        <f t="shared" si="82"/>
        <v>0</v>
      </c>
      <c r="V645" s="8"/>
      <c r="W645" s="8"/>
      <c r="X645" s="8"/>
      <c r="Y645" s="8"/>
      <c r="Z645" s="8"/>
      <c r="AA645" s="8"/>
      <c r="AB645" s="8"/>
      <c r="AC645" s="8">
        <f t="shared" si="83"/>
        <v>0</v>
      </c>
      <c r="AD645" s="8"/>
      <c r="AE645" s="8"/>
      <c r="AF645" s="8"/>
      <c r="AG645" s="8"/>
      <c r="AH645" s="8"/>
      <c r="AI645" s="8"/>
      <c r="AJ645" s="8"/>
      <c r="AK645" s="8"/>
      <c r="AL645" s="8"/>
      <c r="AM645" s="8">
        <v>147440618</v>
      </c>
      <c r="AN645" s="8">
        <f>SUBTOTAL(9,AC645:AM645)</f>
        <v>147440618</v>
      </c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>
        <v>87852735</v>
      </c>
      <c r="AZ645" s="8"/>
      <c r="BA645" s="8"/>
      <c r="BB645" s="8"/>
      <c r="BC645" s="8">
        <f t="shared" si="84"/>
        <v>235293353</v>
      </c>
      <c r="BD645" s="4">
        <v>87852735</v>
      </c>
      <c r="BE645" s="4">
        <f t="shared" si="85"/>
        <v>147440618</v>
      </c>
      <c r="BF645" s="30">
        <f t="shared" si="86"/>
        <v>235293353</v>
      </c>
      <c r="BG645" s="18">
        <f t="shared" si="87"/>
        <v>0</v>
      </c>
      <c r="BH645" s="23"/>
      <c r="BI645" s="23"/>
      <c r="BJ645" s="23"/>
    </row>
    <row r="646" spans="1:66" ht="15" customHeight="1" x14ac:dyDescent="0.2">
      <c r="A646" s="1">
        <v>8190038490</v>
      </c>
      <c r="B646" s="1">
        <v>819003849</v>
      </c>
      <c r="C646" s="15">
        <v>216047460</v>
      </c>
      <c r="D646" s="16" t="s">
        <v>650</v>
      </c>
      <c r="E646" s="41" t="s">
        <v>1670</v>
      </c>
      <c r="F646" s="28"/>
      <c r="G646" s="2"/>
      <c r="H646" s="3"/>
      <c r="I646" s="2"/>
      <c r="J646" s="29"/>
      <c r="K646" s="3"/>
      <c r="L646" s="2"/>
      <c r="M646" s="8"/>
      <c r="N646" s="3"/>
      <c r="O646" s="2"/>
      <c r="P646" s="3"/>
      <c r="Q646" s="2"/>
      <c r="R646" s="3"/>
      <c r="S646" s="3"/>
      <c r="T646" s="2"/>
      <c r="U646" s="8">
        <f t="shared" si="82"/>
        <v>0</v>
      </c>
      <c r="V646" s="8"/>
      <c r="W646" s="8"/>
      <c r="X646" s="8"/>
      <c r="Y646" s="8"/>
      <c r="Z646" s="8"/>
      <c r="AA646" s="8"/>
      <c r="AB646" s="8"/>
      <c r="AC646" s="8">
        <f t="shared" si="83"/>
        <v>0</v>
      </c>
      <c r="AD646" s="8"/>
      <c r="AE646" s="8"/>
      <c r="AF646" s="8"/>
      <c r="AG646" s="8"/>
      <c r="AH646" s="8"/>
      <c r="AI646" s="8"/>
      <c r="AJ646" s="8"/>
      <c r="AK646" s="8"/>
      <c r="AL646" s="8"/>
      <c r="AM646" s="8">
        <v>457040619</v>
      </c>
      <c r="AN646" s="8">
        <f>SUBTOTAL(9,AC646:AM646)</f>
        <v>457040619</v>
      </c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>
        <v>348953560</v>
      </c>
      <c r="AZ646" s="8"/>
      <c r="BA646" s="8"/>
      <c r="BB646" s="8"/>
      <c r="BC646" s="8">
        <f t="shared" si="84"/>
        <v>805994179</v>
      </c>
      <c r="BD646" s="4">
        <v>348953560</v>
      </c>
      <c r="BE646" s="4">
        <f t="shared" si="85"/>
        <v>457040619</v>
      </c>
      <c r="BF646" s="30">
        <f t="shared" si="86"/>
        <v>805994179</v>
      </c>
      <c r="BG646" s="18">
        <f t="shared" si="87"/>
        <v>0</v>
      </c>
      <c r="BH646" s="23"/>
      <c r="BI646" s="23"/>
      <c r="BJ646" s="23"/>
    </row>
    <row r="647" spans="1:66" ht="15" customHeight="1" x14ac:dyDescent="0.2">
      <c r="A647" s="1">
        <v>8000330620</v>
      </c>
      <c r="B647" s="1">
        <v>800033062</v>
      </c>
      <c r="C647" s="15">
        <v>219415494</v>
      </c>
      <c r="D647" s="16" t="s">
        <v>275</v>
      </c>
      <c r="E647" s="41" t="s">
        <v>1309</v>
      </c>
      <c r="F647" s="28"/>
      <c r="G647" s="17"/>
      <c r="H647" s="3"/>
      <c r="I647" s="2"/>
      <c r="J647" s="29"/>
      <c r="K647" s="3"/>
      <c r="L647" s="17"/>
      <c r="M647" s="34"/>
      <c r="N647" s="3"/>
      <c r="O647" s="17"/>
      <c r="P647" s="3"/>
      <c r="Q647" s="2"/>
      <c r="R647" s="3"/>
      <c r="S647" s="3"/>
      <c r="T647" s="17"/>
      <c r="U647" s="8">
        <f t="shared" si="82"/>
        <v>0</v>
      </c>
      <c r="V647" s="8"/>
      <c r="W647" s="8"/>
      <c r="X647" s="8"/>
      <c r="Y647" s="8"/>
      <c r="Z647" s="8"/>
      <c r="AA647" s="8"/>
      <c r="AB647" s="8"/>
      <c r="AC647" s="8">
        <f t="shared" si="83"/>
        <v>0</v>
      </c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>
        <v>32205025</v>
      </c>
      <c r="AZ647" s="8"/>
      <c r="BA647" s="8">
        <f>VLOOKUP(B647,[1]Hoja3!J$3:K$674,2,0)</f>
        <v>78183956</v>
      </c>
      <c r="BB647" s="8"/>
      <c r="BC647" s="8">
        <f t="shared" si="84"/>
        <v>110388981</v>
      </c>
      <c r="BD647" s="4">
        <v>32205025</v>
      </c>
      <c r="BE647" s="4">
        <f t="shared" si="85"/>
        <v>78183956</v>
      </c>
      <c r="BF647" s="30">
        <f t="shared" si="86"/>
        <v>110388981</v>
      </c>
      <c r="BG647" s="18">
        <f t="shared" si="87"/>
        <v>0</v>
      </c>
      <c r="BH647" s="23"/>
      <c r="BI647" s="14"/>
      <c r="BJ647" s="14"/>
      <c r="BK647" s="14"/>
      <c r="BL647" s="14"/>
      <c r="BM647" s="14"/>
      <c r="BN647" s="14"/>
    </row>
    <row r="648" spans="1:66" ht="15" customHeight="1" x14ac:dyDescent="0.2">
      <c r="A648" s="1">
        <v>8000994254</v>
      </c>
      <c r="B648" s="1">
        <v>800099425</v>
      </c>
      <c r="C648" s="15">
        <v>212585225</v>
      </c>
      <c r="D648" s="16" t="s">
        <v>962</v>
      </c>
      <c r="E648" s="41" t="s">
        <v>2023</v>
      </c>
      <c r="F648" s="28"/>
      <c r="G648" s="2"/>
      <c r="H648" s="3"/>
      <c r="I648" s="2"/>
      <c r="J648" s="29"/>
      <c r="K648" s="3"/>
      <c r="L648" s="2"/>
      <c r="M648" s="8"/>
      <c r="N648" s="3"/>
      <c r="O648" s="2"/>
      <c r="P648" s="3"/>
      <c r="Q648" s="2"/>
      <c r="R648" s="3"/>
      <c r="S648" s="3"/>
      <c r="T648" s="2"/>
      <c r="U648" s="8">
        <f t="shared" si="82"/>
        <v>0</v>
      </c>
      <c r="V648" s="8"/>
      <c r="W648" s="8"/>
      <c r="X648" s="8"/>
      <c r="Y648" s="8"/>
      <c r="Z648" s="8"/>
      <c r="AA648" s="8"/>
      <c r="AB648" s="8"/>
      <c r="AC648" s="8">
        <f t="shared" si="83"/>
        <v>0</v>
      </c>
      <c r="AD648" s="8"/>
      <c r="AE648" s="8"/>
      <c r="AF648" s="8"/>
      <c r="AG648" s="8"/>
      <c r="AH648" s="8"/>
      <c r="AI648" s="8"/>
      <c r="AJ648" s="8"/>
      <c r="AK648" s="8"/>
      <c r="AL648" s="8"/>
      <c r="AM648" s="8">
        <v>151967822</v>
      </c>
      <c r="AN648" s="8">
        <f t="shared" ref="AN648:AN654" si="88">SUBTOTAL(9,AC648:AM648)</f>
        <v>151967822</v>
      </c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>
        <v>93113975</v>
      </c>
      <c r="AZ648" s="8"/>
      <c r="BA648" s="8"/>
      <c r="BB648" s="8">
        <f>VLOOKUP(B648,'[2]anuladas en mayo gratuidad}'!K$2:L$55,2,0)</f>
        <v>43085208</v>
      </c>
      <c r="BC648" s="8">
        <f t="shared" si="84"/>
        <v>201996589</v>
      </c>
      <c r="BD648" s="4">
        <v>93113975</v>
      </c>
      <c r="BE648" s="4">
        <f t="shared" si="85"/>
        <v>108882614</v>
      </c>
      <c r="BF648" s="30">
        <f t="shared" si="86"/>
        <v>201996589</v>
      </c>
      <c r="BG648" s="18">
        <f t="shared" si="87"/>
        <v>0</v>
      </c>
      <c r="BH648" s="23"/>
      <c r="BI648" s="23"/>
      <c r="BJ648" s="23"/>
    </row>
    <row r="649" spans="1:66" ht="15" customHeight="1" x14ac:dyDescent="0.2">
      <c r="A649" s="1">
        <v>8916800769</v>
      </c>
      <c r="B649" s="1">
        <v>891680076</v>
      </c>
      <c r="C649" s="15">
        <v>219527495</v>
      </c>
      <c r="D649" s="16" t="s">
        <v>586</v>
      </c>
      <c r="E649" s="41" t="s">
        <v>1607</v>
      </c>
      <c r="F649" s="28"/>
      <c r="G649" s="2"/>
      <c r="H649" s="3"/>
      <c r="I649" s="2"/>
      <c r="J649" s="29"/>
      <c r="K649" s="3"/>
      <c r="L649" s="2"/>
      <c r="M649" s="8"/>
      <c r="N649" s="3"/>
      <c r="O649" s="2"/>
      <c r="P649" s="3"/>
      <c r="Q649" s="2"/>
      <c r="R649" s="3"/>
      <c r="S649" s="3"/>
      <c r="T649" s="2"/>
      <c r="U649" s="8">
        <f t="shared" si="82"/>
        <v>0</v>
      </c>
      <c r="V649" s="8"/>
      <c r="W649" s="8"/>
      <c r="X649" s="8"/>
      <c r="Y649" s="8"/>
      <c r="Z649" s="8"/>
      <c r="AA649" s="8"/>
      <c r="AB649" s="8"/>
      <c r="AC649" s="8">
        <f t="shared" si="83"/>
        <v>0</v>
      </c>
      <c r="AD649" s="8"/>
      <c r="AE649" s="8"/>
      <c r="AF649" s="8"/>
      <c r="AG649" s="8"/>
      <c r="AH649" s="8"/>
      <c r="AI649" s="8"/>
      <c r="AJ649" s="8"/>
      <c r="AK649" s="8"/>
      <c r="AL649" s="8"/>
      <c r="AM649" s="8">
        <v>106264205</v>
      </c>
      <c r="AN649" s="8">
        <f t="shared" si="88"/>
        <v>106264205</v>
      </c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>
        <v>78006510</v>
      </c>
      <c r="AZ649" s="8"/>
      <c r="BA649" s="8"/>
      <c r="BB649" s="8"/>
      <c r="BC649" s="8">
        <f t="shared" si="84"/>
        <v>184270715</v>
      </c>
      <c r="BD649" s="4">
        <v>78006510</v>
      </c>
      <c r="BE649" s="4">
        <f t="shared" si="85"/>
        <v>106264205</v>
      </c>
      <c r="BF649" s="30">
        <f t="shared" si="86"/>
        <v>184270715</v>
      </c>
      <c r="BG649" s="18">
        <f t="shared" si="87"/>
        <v>0</v>
      </c>
      <c r="BH649" s="23"/>
      <c r="BI649" s="23"/>
      <c r="BJ649" s="23"/>
    </row>
    <row r="650" spans="1:66" ht="15" customHeight="1" x14ac:dyDescent="0.2">
      <c r="A650" s="1">
        <v>8919009023</v>
      </c>
      <c r="B650" s="1">
        <v>891900902</v>
      </c>
      <c r="C650" s="15">
        <v>219776497</v>
      </c>
      <c r="D650" s="16" t="s">
        <v>933</v>
      </c>
      <c r="E650" s="41" t="s">
        <v>1994</v>
      </c>
      <c r="F650" s="28"/>
      <c r="G650" s="2"/>
      <c r="H650" s="3"/>
      <c r="I650" s="2"/>
      <c r="J650" s="29"/>
      <c r="K650" s="3"/>
      <c r="L650" s="2"/>
      <c r="M650" s="8"/>
      <c r="N650" s="3"/>
      <c r="O650" s="2"/>
      <c r="P650" s="3"/>
      <c r="Q650" s="2"/>
      <c r="R650" s="3"/>
      <c r="S650" s="3"/>
      <c r="T650" s="2"/>
      <c r="U650" s="8">
        <f t="shared" si="82"/>
        <v>0</v>
      </c>
      <c r="V650" s="8"/>
      <c r="W650" s="8"/>
      <c r="X650" s="8"/>
      <c r="Y650" s="8"/>
      <c r="Z650" s="8"/>
      <c r="AA650" s="8"/>
      <c r="AB650" s="8"/>
      <c r="AC650" s="8">
        <f t="shared" si="83"/>
        <v>0</v>
      </c>
      <c r="AD650" s="8"/>
      <c r="AE650" s="8"/>
      <c r="AF650" s="8"/>
      <c r="AG650" s="8"/>
      <c r="AH650" s="8"/>
      <c r="AI650" s="8"/>
      <c r="AJ650" s="8"/>
      <c r="AK650" s="8"/>
      <c r="AL650" s="8"/>
      <c r="AM650" s="8">
        <v>137452088</v>
      </c>
      <c r="AN650" s="8">
        <f t="shared" si="88"/>
        <v>137452088</v>
      </c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>
        <f t="shared" si="84"/>
        <v>137452088</v>
      </c>
      <c r="BD650" s="4"/>
      <c r="BE650" s="4">
        <f t="shared" si="85"/>
        <v>137452088</v>
      </c>
      <c r="BF650" s="30">
        <f t="shared" si="86"/>
        <v>137452088</v>
      </c>
      <c r="BG650" s="18">
        <f t="shared" si="87"/>
        <v>0</v>
      </c>
      <c r="BH650" s="23"/>
      <c r="BI650" s="23"/>
      <c r="BJ650" s="23"/>
    </row>
    <row r="651" spans="1:66" ht="15" customHeight="1" x14ac:dyDescent="0.2">
      <c r="A651" s="1">
        <v>8902051245</v>
      </c>
      <c r="B651" s="1">
        <v>890205124</v>
      </c>
      <c r="C651" s="15">
        <v>219868498</v>
      </c>
      <c r="D651" s="16" t="s">
        <v>860</v>
      </c>
      <c r="E651" s="41" t="s">
        <v>1874</v>
      </c>
      <c r="F651" s="28"/>
      <c r="G651" s="2"/>
      <c r="H651" s="3"/>
      <c r="I651" s="2"/>
      <c r="J651" s="29"/>
      <c r="K651" s="3"/>
      <c r="L651" s="2"/>
      <c r="M651" s="8"/>
      <c r="N651" s="3"/>
      <c r="O651" s="2"/>
      <c r="P651" s="3"/>
      <c r="Q651" s="2"/>
      <c r="R651" s="3"/>
      <c r="S651" s="3"/>
      <c r="T651" s="2"/>
      <c r="U651" s="8">
        <f t="shared" si="82"/>
        <v>0</v>
      </c>
      <c r="V651" s="8"/>
      <c r="W651" s="8"/>
      <c r="X651" s="8"/>
      <c r="Y651" s="8"/>
      <c r="Z651" s="8"/>
      <c r="AA651" s="8"/>
      <c r="AB651" s="8"/>
      <c r="AC651" s="8">
        <f t="shared" si="83"/>
        <v>0</v>
      </c>
      <c r="AD651" s="8"/>
      <c r="AE651" s="8"/>
      <c r="AF651" s="8"/>
      <c r="AG651" s="8"/>
      <c r="AH651" s="8"/>
      <c r="AI651" s="8"/>
      <c r="AJ651" s="8"/>
      <c r="AK651" s="8"/>
      <c r="AL651" s="8"/>
      <c r="AM651" s="8">
        <v>34531235</v>
      </c>
      <c r="AN651" s="8">
        <f t="shared" si="88"/>
        <v>34531235</v>
      </c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>
        <v>28129820</v>
      </c>
      <c r="AZ651" s="8"/>
      <c r="BA651" s="8">
        <f>VLOOKUP(B651,[1]Hoja3!J$3:K$674,2,0)</f>
        <v>35875601</v>
      </c>
      <c r="BB651" s="8"/>
      <c r="BC651" s="8">
        <f t="shared" si="84"/>
        <v>98536656</v>
      </c>
      <c r="BD651" s="4">
        <v>28129820</v>
      </c>
      <c r="BE651" s="4">
        <f t="shared" si="85"/>
        <v>70406836</v>
      </c>
      <c r="BF651" s="30">
        <f t="shared" si="86"/>
        <v>98536656</v>
      </c>
      <c r="BG651" s="18">
        <f t="shared" si="87"/>
        <v>0</v>
      </c>
      <c r="BH651" s="23"/>
      <c r="BI651" s="23"/>
      <c r="BJ651" s="23"/>
    </row>
    <row r="652" spans="1:66" ht="15" customHeight="1" x14ac:dyDescent="0.2">
      <c r="A652" s="1">
        <v>8905011022</v>
      </c>
      <c r="B652" s="1">
        <v>890501102</v>
      </c>
      <c r="C652" s="15">
        <v>219854498</v>
      </c>
      <c r="D652" s="16" t="s">
        <v>774</v>
      </c>
      <c r="E652" s="41" t="s">
        <v>1792</v>
      </c>
      <c r="F652" s="28"/>
      <c r="G652" s="2"/>
      <c r="H652" s="3"/>
      <c r="I652" s="2"/>
      <c r="J652" s="29"/>
      <c r="K652" s="3"/>
      <c r="L652" s="2"/>
      <c r="M652" s="8"/>
      <c r="N652" s="3"/>
      <c r="O652" s="2"/>
      <c r="P652" s="3"/>
      <c r="Q652" s="2"/>
      <c r="R652" s="3"/>
      <c r="S652" s="3"/>
      <c r="T652" s="2"/>
      <c r="U652" s="8">
        <f t="shared" si="82"/>
        <v>0</v>
      </c>
      <c r="V652" s="8"/>
      <c r="W652" s="8"/>
      <c r="X652" s="8"/>
      <c r="Y652" s="8"/>
      <c r="Z652" s="8"/>
      <c r="AA652" s="8"/>
      <c r="AB652" s="8"/>
      <c r="AC652" s="8">
        <f t="shared" si="83"/>
        <v>0</v>
      </c>
      <c r="AD652" s="8"/>
      <c r="AE652" s="8"/>
      <c r="AF652" s="8"/>
      <c r="AG652" s="8"/>
      <c r="AH652" s="8"/>
      <c r="AI652" s="8"/>
      <c r="AJ652" s="8"/>
      <c r="AK652" s="8"/>
      <c r="AL652" s="8"/>
      <c r="AM652" s="8">
        <v>704845756</v>
      </c>
      <c r="AN652" s="8">
        <f t="shared" si="88"/>
        <v>704845756</v>
      </c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>
        <v>605639625</v>
      </c>
      <c r="AZ652" s="8"/>
      <c r="BA652" s="8">
        <f>VLOOKUP(B652,[1]Hoja3!J$3:K$674,2,0)</f>
        <v>732080624</v>
      </c>
      <c r="BB652" s="8"/>
      <c r="BC652" s="8">
        <f t="shared" si="84"/>
        <v>2042566005</v>
      </c>
      <c r="BD652" s="4">
        <v>605639625</v>
      </c>
      <c r="BE652" s="4">
        <f t="shared" si="85"/>
        <v>1436926380</v>
      </c>
      <c r="BF652" s="30">
        <f t="shared" si="86"/>
        <v>2042566005</v>
      </c>
      <c r="BG652" s="18">
        <f t="shared" si="87"/>
        <v>0</v>
      </c>
      <c r="BH652" s="23"/>
      <c r="BI652" s="23"/>
      <c r="BJ652" s="23"/>
    </row>
    <row r="653" spans="1:66" ht="15" customHeight="1" x14ac:dyDescent="0.2">
      <c r="A653" s="1">
        <v>8902109487</v>
      </c>
      <c r="B653" s="1">
        <v>890210948</v>
      </c>
      <c r="C653" s="15">
        <v>210068500</v>
      </c>
      <c r="D653" s="16" t="s">
        <v>861</v>
      </c>
      <c r="E653" s="41" t="s">
        <v>1875</v>
      </c>
      <c r="F653" s="28"/>
      <c r="G653" s="2"/>
      <c r="H653" s="3"/>
      <c r="I653" s="2"/>
      <c r="J653" s="29"/>
      <c r="K653" s="3"/>
      <c r="L653" s="2"/>
      <c r="M653" s="8"/>
      <c r="N653" s="3"/>
      <c r="O653" s="2"/>
      <c r="P653" s="3"/>
      <c r="Q653" s="2"/>
      <c r="R653" s="3"/>
      <c r="S653" s="3"/>
      <c r="T653" s="2"/>
      <c r="U653" s="8">
        <f t="shared" si="82"/>
        <v>0</v>
      </c>
      <c r="V653" s="8"/>
      <c r="W653" s="8"/>
      <c r="X653" s="8"/>
      <c r="Y653" s="8"/>
      <c r="Z653" s="8"/>
      <c r="AA653" s="8"/>
      <c r="AB653" s="8"/>
      <c r="AC653" s="8">
        <f t="shared" si="83"/>
        <v>0</v>
      </c>
      <c r="AD653" s="8"/>
      <c r="AE653" s="8"/>
      <c r="AF653" s="8"/>
      <c r="AG653" s="8"/>
      <c r="AH653" s="8"/>
      <c r="AI653" s="8"/>
      <c r="AJ653" s="8"/>
      <c r="AK653" s="8"/>
      <c r="AL653" s="8"/>
      <c r="AM653" s="8">
        <v>178480150</v>
      </c>
      <c r="AN653" s="8">
        <f t="shared" si="88"/>
        <v>178480150</v>
      </c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>
        <v>77436015</v>
      </c>
      <c r="AZ653" s="8"/>
      <c r="BA653" s="8"/>
      <c r="BB653" s="8"/>
      <c r="BC653" s="8">
        <f t="shared" si="84"/>
        <v>255916165</v>
      </c>
      <c r="BD653" s="4">
        <v>77436015</v>
      </c>
      <c r="BE653" s="4">
        <f t="shared" si="85"/>
        <v>178480150</v>
      </c>
      <c r="BF653" s="30">
        <f t="shared" si="86"/>
        <v>255916165</v>
      </c>
      <c r="BG653" s="18">
        <f t="shared" si="87"/>
        <v>0</v>
      </c>
      <c r="BH653" s="23"/>
      <c r="BI653" s="23"/>
      <c r="BJ653" s="23"/>
    </row>
    <row r="654" spans="1:66" ht="15" customHeight="1" x14ac:dyDescent="0.2">
      <c r="A654" s="1">
        <v>8000261565</v>
      </c>
      <c r="B654" s="1">
        <v>800026156</v>
      </c>
      <c r="C654" s="15">
        <v>210015500</v>
      </c>
      <c r="D654" s="16" t="s">
        <v>276</v>
      </c>
      <c r="E654" s="41" t="s">
        <v>1310</v>
      </c>
      <c r="F654" s="28"/>
      <c r="G654" s="17"/>
      <c r="H654" s="3"/>
      <c r="I654" s="2"/>
      <c r="J654" s="29"/>
      <c r="K654" s="3"/>
      <c r="L654" s="17"/>
      <c r="M654" s="34"/>
      <c r="N654" s="3"/>
      <c r="O654" s="17"/>
      <c r="P654" s="3"/>
      <c r="Q654" s="2"/>
      <c r="R654" s="3"/>
      <c r="S654" s="3"/>
      <c r="T654" s="17"/>
      <c r="U654" s="8">
        <f t="shared" si="82"/>
        <v>0</v>
      </c>
      <c r="V654" s="8"/>
      <c r="W654" s="8"/>
      <c r="X654" s="8"/>
      <c r="Y654" s="8"/>
      <c r="Z654" s="8"/>
      <c r="AA654" s="8"/>
      <c r="AB654" s="8"/>
      <c r="AC654" s="8">
        <f t="shared" si="83"/>
        <v>0</v>
      </c>
      <c r="AD654" s="8"/>
      <c r="AE654" s="8"/>
      <c r="AF654" s="8"/>
      <c r="AG654" s="8"/>
      <c r="AH654" s="8"/>
      <c r="AI654" s="8"/>
      <c r="AJ654" s="8"/>
      <c r="AK654" s="8"/>
      <c r="AL654" s="8"/>
      <c r="AM654" s="8">
        <v>31126673</v>
      </c>
      <c r="AN654" s="8">
        <f t="shared" si="88"/>
        <v>31126673</v>
      </c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>
        <v>18219275</v>
      </c>
      <c r="AZ654" s="8"/>
      <c r="BA654" s="8"/>
      <c r="BB654" s="8"/>
      <c r="BC654" s="8">
        <f t="shared" si="84"/>
        <v>49345948</v>
      </c>
      <c r="BD654" s="4">
        <v>18219275</v>
      </c>
      <c r="BE654" s="4">
        <f t="shared" si="85"/>
        <v>31126673</v>
      </c>
      <c r="BF654" s="30">
        <f t="shared" si="86"/>
        <v>49345948</v>
      </c>
      <c r="BG654" s="18">
        <f t="shared" si="87"/>
        <v>0</v>
      </c>
      <c r="BH654" s="23"/>
      <c r="BI654" s="14"/>
      <c r="BJ654" s="14"/>
      <c r="BK654" s="14"/>
      <c r="BL654" s="14"/>
      <c r="BM654" s="14"/>
      <c r="BN654" s="14"/>
    </row>
    <row r="655" spans="1:66" ht="15" customHeight="1" x14ac:dyDescent="0.2">
      <c r="A655" s="1">
        <v>8000991131</v>
      </c>
      <c r="B655" s="1">
        <v>800099113</v>
      </c>
      <c r="C655" s="15">
        <v>219052490</v>
      </c>
      <c r="D655" s="16" t="s">
        <v>728</v>
      </c>
      <c r="E655" s="41" t="s">
        <v>1752</v>
      </c>
      <c r="F655" s="28"/>
      <c r="G655" s="2"/>
      <c r="H655" s="3"/>
      <c r="I655" s="2"/>
      <c r="J655" s="29"/>
      <c r="K655" s="3"/>
      <c r="L655" s="2"/>
      <c r="M655" s="8"/>
      <c r="N655" s="3"/>
      <c r="O655" s="2"/>
      <c r="P655" s="3"/>
      <c r="Q655" s="2"/>
      <c r="R655" s="3"/>
      <c r="S655" s="3"/>
      <c r="T655" s="2"/>
      <c r="U655" s="8">
        <f t="shared" si="82"/>
        <v>0</v>
      </c>
      <c r="V655" s="8"/>
      <c r="W655" s="8"/>
      <c r="X655" s="8"/>
      <c r="Y655" s="8"/>
      <c r="Z655" s="8"/>
      <c r="AA655" s="8"/>
      <c r="AB655" s="8"/>
      <c r="AC655" s="8">
        <f t="shared" si="83"/>
        <v>0</v>
      </c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>
        <v>368204085</v>
      </c>
      <c r="AZ655" s="8"/>
      <c r="BA655" s="8">
        <f>VLOOKUP(B655,[1]Hoja3!J$3:K$674,2,0)</f>
        <v>518351795</v>
      </c>
      <c r="BB655" s="8"/>
      <c r="BC655" s="8">
        <f t="shared" si="84"/>
        <v>886555880</v>
      </c>
      <c r="BD655" s="4">
        <v>368204085</v>
      </c>
      <c r="BE655" s="4">
        <f t="shared" si="85"/>
        <v>518351795</v>
      </c>
      <c r="BF655" s="30">
        <f t="shared" si="86"/>
        <v>886555880</v>
      </c>
      <c r="BG655" s="18">
        <f t="shared" si="87"/>
        <v>0</v>
      </c>
      <c r="BH655" s="23"/>
      <c r="BI655" s="23"/>
      <c r="BJ655" s="23"/>
    </row>
    <row r="656" spans="1:66" ht="15" customHeight="1" x14ac:dyDescent="0.2">
      <c r="A656" s="1">
        <v>8909841619</v>
      </c>
      <c r="B656" s="1">
        <v>890984161</v>
      </c>
      <c r="C656" s="15">
        <v>210105501</v>
      </c>
      <c r="D656" s="16" t="s">
        <v>114</v>
      </c>
      <c r="E656" s="41" t="s">
        <v>1097</v>
      </c>
      <c r="F656" s="28"/>
      <c r="G656" s="17"/>
      <c r="H656" s="3"/>
      <c r="I656" s="2"/>
      <c r="J656" s="29"/>
      <c r="K656" s="3"/>
      <c r="L656" s="17"/>
      <c r="M656" s="34"/>
      <c r="N656" s="3"/>
      <c r="O656" s="17"/>
      <c r="P656" s="3"/>
      <c r="Q656" s="2"/>
      <c r="R656" s="3"/>
      <c r="S656" s="3"/>
      <c r="T656" s="17"/>
      <c r="U656" s="8">
        <f t="shared" si="82"/>
        <v>0</v>
      </c>
      <c r="V656" s="8"/>
      <c r="W656" s="8"/>
      <c r="X656" s="8"/>
      <c r="Y656" s="8"/>
      <c r="Z656" s="8"/>
      <c r="AA656" s="8"/>
      <c r="AB656" s="8"/>
      <c r="AC656" s="8">
        <f t="shared" si="83"/>
        <v>0</v>
      </c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>
        <v>20796520</v>
      </c>
      <c r="AZ656" s="8"/>
      <c r="BA656" s="8">
        <f>VLOOKUP(B656,[1]Hoja3!J$3:K$674,2,0)</f>
        <v>46486544</v>
      </c>
      <c r="BB656" s="8"/>
      <c r="BC656" s="8">
        <f t="shared" si="84"/>
        <v>67283064</v>
      </c>
      <c r="BD656" s="4">
        <v>20796520</v>
      </c>
      <c r="BE656" s="4">
        <f t="shared" si="85"/>
        <v>46486544</v>
      </c>
      <c r="BF656" s="30">
        <f t="shared" si="86"/>
        <v>67283064</v>
      </c>
      <c r="BG656" s="18">
        <f t="shared" si="87"/>
        <v>0</v>
      </c>
      <c r="BH656" s="23"/>
      <c r="BI656" s="14"/>
      <c r="BJ656" s="14"/>
      <c r="BK656" s="14"/>
      <c r="BL656" s="14"/>
      <c r="BM656" s="14"/>
      <c r="BN656" s="14"/>
    </row>
    <row r="657" spans="1:66" ht="15" customHeight="1" x14ac:dyDescent="0.2">
      <c r="A657" s="1">
        <v>8902081485</v>
      </c>
      <c r="B657" s="1">
        <v>890208148</v>
      </c>
      <c r="C657" s="15">
        <v>210268502</v>
      </c>
      <c r="D657" s="16" t="s">
        <v>862</v>
      </c>
      <c r="E657" s="41" t="s">
        <v>1876</v>
      </c>
      <c r="F657" s="28"/>
      <c r="G657" s="2"/>
      <c r="H657" s="3"/>
      <c r="I657" s="2"/>
      <c r="J657" s="29"/>
      <c r="K657" s="3"/>
      <c r="L657" s="2"/>
      <c r="M657" s="8"/>
      <c r="N657" s="3"/>
      <c r="O657" s="2"/>
      <c r="P657" s="3"/>
      <c r="Q657" s="2"/>
      <c r="R657" s="3"/>
      <c r="S657" s="3"/>
      <c r="T657" s="2"/>
      <c r="U657" s="8">
        <f t="shared" si="82"/>
        <v>0</v>
      </c>
      <c r="V657" s="8"/>
      <c r="W657" s="8"/>
      <c r="X657" s="8"/>
      <c r="Y657" s="8"/>
      <c r="Z657" s="8"/>
      <c r="AA657" s="8"/>
      <c r="AB657" s="8"/>
      <c r="AC657" s="8">
        <f t="shared" si="83"/>
        <v>0</v>
      </c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>
        <v>31848195</v>
      </c>
      <c r="AZ657" s="8"/>
      <c r="BA657" s="8">
        <f>VLOOKUP(B657,[1]Hoja3!J$3:K$674,2,0)</f>
        <v>52593474</v>
      </c>
      <c r="BB657" s="8"/>
      <c r="BC657" s="8">
        <f t="shared" si="84"/>
        <v>84441669</v>
      </c>
      <c r="BD657" s="4">
        <v>31848195</v>
      </c>
      <c r="BE657" s="4">
        <f t="shared" si="85"/>
        <v>52593474</v>
      </c>
      <c r="BF657" s="30">
        <f t="shared" si="86"/>
        <v>84441669</v>
      </c>
      <c r="BG657" s="18">
        <f t="shared" si="87"/>
        <v>0</v>
      </c>
      <c r="BH657" s="23"/>
      <c r="BI657" s="23"/>
      <c r="BJ657" s="23"/>
    </row>
    <row r="658" spans="1:66" ht="15" customHeight="1" x14ac:dyDescent="0.2">
      <c r="A658" s="1">
        <v>8911801793</v>
      </c>
      <c r="B658" s="1">
        <v>891180179</v>
      </c>
      <c r="C658" s="15">
        <v>210341503</v>
      </c>
      <c r="D658" s="16" t="s">
        <v>611</v>
      </c>
      <c r="E658" s="41" t="s">
        <v>1631</v>
      </c>
      <c r="F658" s="28"/>
      <c r="G658" s="2"/>
      <c r="H658" s="3"/>
      <c r="I658" s="2"/>
      <c r="J658" s="29"/>
      <c r="K658" s="3"/>
      <c r="L658" s="2"/>
      <c r="M658" s="8"/>
      <c r="N658" s="3"/>
      <c r="O658" s="2"/>
      <c r="P658" s="3"/>
      <c r="Q658" s="2"/>
      <c r="R658" s="3"/>
      <c r="S658" s="3"/>
      <c r="T658" s="2"/>
      <c r="U658" s="8">
        <f t="shared" si="82"/>
        <v>0</v>
      </c>
      <c r="V658" s="8"/>
      <c r="W658" s="8"/>
      <c r="X658" s="8"/>
      <c r="Y658" s="8"/>
      <c r="Z658" s="8"/>
      <c r="AA658" s="8"/>
      <c r="AB658" s="8"/>
      <c r="AC658" s="8">
        <f t="shared" si="83"/>
        <v>0</v>
      </c>
      <c r="AD658" s="8"/>
      <c r="AE658" s="8"/>
      <c r="AF658" s="8"/>
      <c r="AG658" s="8"/>
      <c r="AH658" s="8"/>
      <c r="AI658" s="8"/>
      <c r="AJ658" s="8"/>
      <c r="AK658" s="8"/>
      <c r="AL658" s="8"/>
      <c r="AM658" s="8">
        <v>103959155</v>
      </c>
      <c r="AN658" s="8">
        <f t="shared" ref="AN658:AN663" si="89">SUBTOTAL(9,AC658:AM658)</f>
        <v>103959155</v>
      </c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>
        <f>VLOOKUP(B658,[1]Hoja3!J$3:K$674,2,0)</f>
        <v>111988192</v>
      </c>
      <c r="BB658" s="8"/>
      <c r="BC658" s="8">
        <f t="shared" si="84"/>
        <v>215947347</v>
      </c>
      <c r="BD658" s="4"/>
      <c r="BE658" s="4">
        <f t="shared" si="85"/>
        <v>215947347</v>
      </c>
      <c r="BF658" s="30">
        <f t="shared" si="86"/>
        <v>215947347</v>
      </c>
      <c r="BG658" s="18">
        <f t="shared" si="87"/>
        <v>0</v>
      </c>
      <c r="BH658" s="23"/>
      <c r="BI658" s="23"/>
      <c r="BJ658" s="23"/>
    </row>
    <row r="659" spans="1:66" ht="15" customHeight="1" x14ac:dyDescent="0.2">
      <c r="A659" s="1">
        <v>8001028962</v>
      </c>
      <c r="B659" s="1">
        <v>800102896</v>
      </c>
      <c r="C659" s="15">
        <v>212086320</v>
      </c>
      <c r="D659" s="16" t="s">
        <v>976</v>
      </c>
      <c r="E659" s="41" t="s">
        <v>2065</v>
      </c>
      <c r="F659" s="28"/>
      <c r="G659" s="2"/>
      <c r="H659" s="3"/>
      <c r="I659" s="2"/>
      <c r="J659" s="29"/>
      <c r="K659" s="3"/>
      <c r="L659" s="2"/>
      <c r="M659" s="8"/>
      <c r="N659" s="3"/>
      <c r="O659" s="2"/>
      <c r="P659" s="3"/>
      <c r="Q659" s="2"/>
      <c r="R659" s="3"/>
      <c r="S659" s="3"/>
      <c r="T659" s="2"/>
      <c r="U659" s="8">
        <f t="shared" si="82"/>
        <v>0</v>
      </c>
      <c r="V659" s="8"/>
      <c r="W659" s="8"/>
      <c r="X659" s="8"/>
      <c r="Y659" s="8"/>
      <c r="Z659" s="8"/>
      <c r="AA659" s="8"/>
      <c r="AB659" s="8"/>
      <c r="AC659" s="8">
        <f t="shared" si="83"/>
        <v>0</v>
      </c>
      <c r="AD659" s="8"/>
      <c r="AE659" s="8"/>
      <c r="AF659" s="8"/>
      <c r="AG659" s="8"/>
      <c r="AH659" s="8"/>
      <c r="AI659" s="8"/>
      <c r="AJ659" s="8"/>
      <c r="AK659" s="8"/>
      <c r="AL659" s="8"/>
      <c r="AM659" s="8">
        <v>202546857</v>
      </c>
      <c r="AN659" s="8">
        <f t="shared" si="89"/>
        <v>202546857</v>
      </c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>
        <v>409930015</v>
      </c>
      <c r="AZ659" s="8"/>
      <c r="BA659" s="8">
        <f>VLOOKUP(B659,[1]Hoja3!J$3:K$674,2,0)</f>
        <v>513946915</v>
      </c>
      <c r="BB659" s="8"/>
      <c r="BC659" s="8">
        <f t="shared" si="84"/>
        <v>1126423787</v>
      </c>
      <c r="BD659" s="4">
        <v>409930015</v>
      </c>
      <c r="BE659" s="4">
        <f t="shared" si="85"/>
        <v>716493772</v>
      </c>
      <c r="BF659" s="30">
        <f t="shared" si="86"/>
        <v>1126423787</v>
      </c>
      <c r="BG659" s="18">
        <f t="shared" si="87"/>
        <v>0</v>
      </c>
      <c r="BH659" s="23"/>
      <c r="BI659" s="23"/>
      <c r="BJ659" s="23"/>
    </row>
    <row r="660" spans="1:66" ht="15" customHeight="1" x14ac:dyDescent="0.2">
      <c r="A660" s="1">
        <v>8920993924</v>
      </c>
      <c r="B660" s="1">
        <v>892099392</v>
      </c>
      <c r="C660" s="15">
        <v>213085230</v>
      </c>
      <c r="D660" s="16" t="s">
        <v>963</v>
      </c>
      <c r="E660" s="41" t="s">
        <v>2024</v>
      </c>
      <c r="F660" s="28"/>
      <c r="G660" s="2"/>
      <c r="H660" s="3"/>
      <c r="I660" s="2"/>
      <c r="J660" s="29"/>
      <c r="K660" s="3"/>
      <c r="L660" s="2"/>
      <c r="M660" s="8"/>
      <c r="N660" s="3"/>
      <c r="O660" s="2"/>
      <c r="P660" s="3"/>
      <c r="Q660" s="2"/>
      <c r="R660" s="3"/>
      <c r="S660" s="3"/>
      <c r="T660" s="2"/>
      <c r="U660" s="8">
        <f t="shared" si="82"/>
        <v>0</v>
      </c>
      <c r="V660" s="8"/>
      <c r="W660" s="8"/>
      <c r="X660" s="8"/>
      <c r="Y660" s="8"/>
      <c r="Z660" s="8"/>
      <c r="AA660" s="8"/>
      <c r="AB660" s="8"/>
      <c r="AC660" s="8">
        <f t="shared" si="83"/>
        <v>0</v>
      </c>
      <c r="AD660" s="8"/>
      <c r="AE660" s="8"/>
      <c r="AF660" s="8"/>
      <c r="AG660" s="8"/>
      <c r="AH660" s="8"/>
      <c r="AI660" s="8"/>
      <c r="AJ660" s="8"/>
      <c r="AK660" s="8"/>
      <c r="AL660" s="8"/>
      <c r="AM660" s="8">
        <v>209059843</v>
      </c>
      <c r="AN660" s="8">
        <f t="shared" si="89"/>
        <v>209059843</v>
      </c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>
        <v>138880395</v>
      </c>
      <c r="AZ660" s="8"/>
      <c r="BA660" s="8"/>
      <c r="BB660" s="8"/>
      <c r="BC660" s="8">
        <f t="shared" si="84"/>
        <v>347940238</v>
      </c>
      <c r="BD660" s="4">
        <v>138880395</v>
      </c>
      <c r="BE660" s="4">
        <f t="shared" si="85"/>
        <v>209059843</v>
      </c>
      <c r="BF660" s="30">
        <f t="shared" si="86"/>
        <v>347940238</v>
      </c>
      <c r="BG660" s="18">
        <f t="shared" si="87"/>
        <v>0</v>
      </c>
      <c r="BH660" s="23"/>
      <c r="BI660" s="23"/>
      <c r="BJ660" s="23"/>
    </row>
    <row r="661" spans="1:66" ht="15" customHeight="1" x14ac:dyDescent="0.2">
      <c r="A661" s="1">
        <v>8907009426</v>
      </c>
      <c r="B661" s="1">
        <v>890700942</v>
      </c>
      <c r="C661" s="15">
        <v>210473504</v>
      </c>
      <c r="D661" s="16" t="s">
        <v>2231</v>
      </c>
      <c r="E661" s="41" t="s">
        <v>1956</v>
      </c>
      <c r="F661" s="28"/>
      <c r="G661" s="2"/>
      <c r="H661" s="3"/>
      <c r="I661" s="2"/>
      <c r="J661" s="29"/>
      <c r="K661" s="3"/>
      <c r="L661" s="2"/>
      <c r="M661" s="8"/>
      <c r="N661" s="3"/>
      <c r="O661" s="2"/>
      <c r="P661" s="3"/>
      <c r="Q661" s="2"/>
      <c r="R661" s="3"/>
      <c r="S661" s="3"/>
      <c r="T661" s="2"/>
      <c r="U661" s="8">
        <f t="shared" si="82"/>
        <v>0</v>
      </c>
      <c r="V661" s="8"/>
      <c r="W661" s="8"/>
      <c r="X661" s="8"/>
      <c r="Y661" s="8"/>
      <c r="Z661" s="8"/>
      <c r="AA661" s="8"/>
      <c r="AB661" s="8"/>
      <c r="AC661" s="8">
        <f t="shared" si="83"/>
        <v>0</v>
      </c>
      <c r="AD661" s="8"/>
      <c r="AE661" s="8"/>
      <c r="AF661" s="8"/>
      <c r="AG661" s="8"/>
      <c r="AH661" s="8"/>
      <c r="AI661" s="8"/>
      <c r="AJ661" s="8"/>
      <c r="AK661" s="8"/>
      <c r="AL661" s="8"/>
      <c r="AM661" s="8">
        <v>434541183</v>
      </c>
      <c r="AN661" s="8">
        <f t="shared" si="89"/>
        <v>434541183</v>
      </c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>
        <v>321284075</v>
      </c>
      <c r="AZ661" s="8"/>
      <c r="BA661" s="8">
        <f>VLOOKUP(B661,[1]Hoja3!J$3:K$674,2,0)</f>
        <v>150284929</v>
      </c>
      <c r="BB661" s="8"/>
      <c r="BC661" s="8">
        <f t="shared" si="84"/>
        <v>906110187</v>
      </c>
      <c r="BD661" s="4">
        <v>321284075</v>
      </c>
      <c r="BE661" s="4">
        <f t="shared" si="85"/>
        <v>584826112</v>
      </c>
      <c r="BF661" s="30">
        <f t="shared" si="86"/>
        <v>906110187</v>
      </c>
      <c r="BG661" s="18">
        <f t="shared" si="87"/>
        <v>0</v>
      </c>
      <c r="BH661" s="23"/>
      <c r="BI661" s="23"/>
      <c r="BJ661" s="23"/>
    </row>
    <row r="662" spans="1:66" ht="15" customHeight="1" x14ac:dyDescent="0.2">
      <c r="A662" s="1">
        <v>8906800883</v>
      </c>
      <c r="B662" s="1">
        <v>890680088</v>
      </c>
      <c r="C662" s="15">
        <v>210625506</v>
      </c>
      <c r="D662" s="16" t="s">
        <v>2122</v>
      </c>
      <c r="E662" s="41" t="s">
        <v>1495</v>
      </c>
      <c r="F662" s="28"/>
      <c r="G662" s="17"/>
      <c r="H662" s="3"/>
      <c r="I662" s="2"/>
      <c r="J662" s="29"/>
      <c r="K662" s="3"/>
      <c r="L662" s="17"/>
      <c r="M662" s="34"/>
      <c r="N662" s="3"/>
      <c r="O662" s="17"/>
      <c r="P662" s="3"/>
      <c r="Q662" s="2"/>
      <c r="R662" s="3"/>
      <c r="S662" s="3"/>
      <c r="T662" s="17"/>
      <c r="U662" s="8">
        <f t="shared" si="82"/>
        <v>0</v>
      </c>
      <c r="V662" s="8"/>
      <c r="W662" s="8"/>
      <c r="X662" s="8"/>
      <c r="Y662" s="8"/>
      <c r="Z662" s="8"/>
      <c r="AA662" s="8"/>
      <c r="AB662" s="8"/>
      <c r="AC662" s="8">
        <f t="shared" si="83"/>
        <v>0</v>
      </c>
      <c r="AD662" s="8"/>
      <c r="AE662" s="8"/>
      <c r="AF662" s="8"/>
      <c r="AG662" s="8"/>
      <c r="AH662" s="8"/>
      <c r="AI662" s="8"/>
      <c r="AJ662" s="8"/>
      <c r="AK662" s="8"/>
      <c r="AL662" s="8"/>
      <c r="AM662" s="8">
        <v>71017415</v>
      </c>
      <c r="AN662" s="8">
        <f t="shared" si="89"/>
        <v>71017415</v>
      </c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>
        <v>28278290</v>
      </c>
      <c r="AZ662" s="8"/>
      <c r="BA662" s="8"/>
      <c r="BB662" s="8"/>
      <c r="BC662" s="8">
        <f t="shared" si="84"/>
        <v>99295705</v>
      </c>
      <c r="BD662" s="4">
        <v>28278290</v>
      </c>
      <c r="BE662" s="4">
        <f t="shared" si="85"/>
        <v>71017415</v>
      </c>
      <c r="BF662" s="30">
        <f t="shared" si="86"/>
        <v>99295705</v>
      </c>
      <c r="BG662" s="18">
        <f t="shared" si="87"/>
        <v>0</v>
      </c>
      <c r="BH662" s="23"/>
      <c r="BI662" s="14"/>
      <c r="BJ662" s="14"/>
      <c r="BK662" s="14"/>
      <c r="BL662" s="14"/>
      <c r="BM662" s="14"/>
      <c r="BN662" s="14"/>
    </row>
    <row r="663" spans="1:66" ht="15" customHeight="1" x14ac:dyDescent="0.2">
      <c r="A663" s="1">
        <v>8000991156</v>
      </c>
      <c r="B663" s="1">
        <v>800099115</v>
      </c>
      <c r="C663" s="15">
        <v>210652506</v>
      </c>
      <c r="D663" s="16" t="s">
        <v>729</v>
      </c>
      <c r="E663" s="41" t="s">
        <v>1736</v>
      </c>
      <c r="F663" s="28"/>
      <c r="G663" s="2"/>
      <c r="H663" s="3"/>
      <c r="I663" s="2"/>
      <c r="J663" s="29"/>
      <c r="K663" s="3"/>
      <c r="L663" s="2"/>
      <c r="M663" s="8"/>
      <c r="N663" s="3"/>
      <c r="O663" s="2"/>
      <c r="P663" s="3"/>
      <c r="Q663" s="2"/>
      <c r="R663" s="3"/>
      <c r="S663" s="3"/>
      <c r="T663" s="2"/>
      <c r="U663" s="8">
        <f t="shared" si="82"/>
        <v>0</v>
      </c>
      <c r="V663" s="8"/>
      <c r="W663" s="8"/>
      <c r="X663" s="8"/>
      <c r="Y663" s="8"/>
      <c r="Z663" s="8"/>
      <c r="AA663" s="8"/>
      <c r="AB663" s="8"/>
      <c r="AC663" s="8">
        <f t="shared" si="83"/>
        <v>0</v>
      </c>
      <c r="AD663" s="8"/>
      <c r="AE663" s="8"/>
      <c r="AF663" s="8"/>
      <c r="AG663" s="8"/>
      <c r="AH663" s="8"/>
      <c r="AI663" s="8"/>
      <c r="AJ663" s="8"/>
      <c r="AK663" s="8"/>
      <c r="AL663" s="8"/>
      <c r="AM663" s="8">
        <v>89697871</v>
      </c>
      <c r="AN663" s="8">
        <f t="shared" si="89"/>
        <v>89697871</v>
      </c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>
        <v>48473680</v>
      </c>
      <c r="AZ663" s="8"/>
      <c r="BA663" s="8"/>
      <c r="BB663" s="8"/>
      <c r="BC663" s="8">
        <f t="shared" si="84"/>
        <v>138171551</v>
      </c>
      <c r="BD663" s="4">
        <v>48473680</v>
      </c>
      <c r="BE663" s="4">
        <f t="shared" si="85"/>
        <v>89697871</v>
      </c>
      <c r="BF663" s="30">
        <f t="shared" si="86"/>
        <v>138171551</v>
      </c>
      <c r="BG663" s="18">
        <f t="shared" si="87"/>
        <v>0</v>
      </c>
      <c r="BH663" s="23"/>
      <c r="BI663" s="23"/>
      <c r="BJ663" s="23"/>
    </row>
    <row r="664" spans="1:66" ht="15" customHeight="1" x14ac:dyDescent="0.2">
      <c r="A664" s="1">
        <v>8918013621</v>
      </c>
      <c r="B664" s="1">
        <v>891801362</v>
      </c>
      <c r="C664" s="15">
        <v>210715507</v>
      </c>
      <c r="D664" s="16" t="s">
        <v>277</v>
      </c>
      <c r="E664" s="41" t="s">
        <v>2081</v>
      </c>
      <c r="F664" s="28"/>
      <c r="G664" s="17"/>
      <c r="H664" s="3"/>
      <c r="I664" s="2"/>
      <c r="J664" s="29"/>
      <c r="K664" s="3"/>
      <c r="L664" s="17"/>
      <c r="M664" s="34"/>
      <c r="N664" s="3"/>
      <c r="O664" s="17"/>
      <c r="P664" s="3"/>
      <c r="Q664" s="2"/>
      <c r="R664" s="3"/>
      <c r="S664" s="3"/>
      <c r="T664" s="17"/>
      <c r="U664" s="8">
        <f t="shared" si="82"/>
        <v>0</v>
      </c>
      <c r="V664" s="8"/>
      <c r="W664" s="8"/>
      <c r="X664" s="8"/>
      <c r="Y664" s="8"/>
      <c r="Z664" s="8"/>
      <c r="AA664" s="8"/>
      <c r="AB664" s="8"/>
      <c r="AC664" s="8">
        <f t="shared" si="83"/>
        <v>0</v>
      </c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>
        <v>74475970</v>
      </c>
      <c r="AZ664" s="8"/>
      <c r="BA664" s="8">
        <f>VLOOKUP(B664,[1]Hoja3!J$3:K$674,2,0)</f>
        <v>121497439</v>
      </c>
      <c r="BB664" s="8"/>
      <c r="BC664" s="8">
        <f t="shared" si="84"/>
        <v>195973409</v>
      </c>
      <c r="BD664" s="4">
        <v>74475970</v>
      </c>
      <c r="BE664" s="4">
        <f t="shared" si="85"/>
        <v>121497439</v>
      </c>
      <c r="BF664" s="30">
        <f t="shared" si="86"/>
        <v>195973409</v>
      </c>
      <c r="BG664" s="18">
        <f t="shared" si="87"/>
        <v>0</v>
      </c>
      <c r="BH664" s="23"/>
      <c r="BI664" s="14"/>
      <c r="BJ664" s="14"/>
      <c r="BK664" s="14"/>
      <c r="BL664" s="14"/>
      <c r="BM664" s="14"/>
      <c r="BN664" s="14"/>
    </row>
    <row r="665" spans="1:66" ht="15" customHeight="1" x14ac:dyDescent="0.2">
      <c r="A665" s="1">
        <v>8001007291</v>
      </c>
      <c r="B665" s="1">
        <v>800100729</v>
      </c>
      <c r="C665" s="15">
        <v>210870508</v>
      </c>
      <c r="D665" s="16" t="s">
        <v>903</v>
      </c>
      <c r="E665" s="41" t="s">
        <v>1917</v>
      </c>
      <c r="F665" s="28"/>
      <c r="G665" s="2"/>
      <c r="H665" s="3"/>
      <c r="I665" s="2"/>
      <c r="J665" s="29"/>
      <c r="K665" s="3"/>
      <c r="L665" s="2"/>
      <c r="M665" s="8"/>
      <c r="N665" s="3"/>
      <c r="O665" s="2"/>
      <c r="P665" s="3"/>
      <c r="Q665" s="2"/>
      <c r="R665" s="3"/>
      <c r="S665" s="3"/>
      <c r="T665" s="2"/>
      <c r="U665" s="8">
        <f t="shared" si="82"/>
        <v>0</v>
      </c>
      <c r="V665" s="8"/>
      <c r="W665" s="8"/>
      <c r="X665" s="8"/>
      <c r="Y665" s="8"/>
      <c r="Z665" s="8"/>
      <c r="AA665" s="8"/>
      <c r="AB665" s="8"/>
      <c r="AC665" s="8">
        <f t="shared" si="83"/>
        <v>0</v>
      </c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>
        <f>VLOOKUP(B665,[1]Hoja3!J$3:K$674,2,0)</f>
        <v>411266447</v>
      </c>
      <c r="BB665" s="8"/>
      <c r="BC665" s="8">
        <f t="shared" si="84"/>
        <v>411266447</v>
      </c>
      <c r="BD665" s="4"/>
      <c r="BE665" s="4">
        <f t="shared" si="85"/>
        <v>411266447</v>
      </c>
      <c r="BF665" s="30">
        <f t="shared" si="86"/>
        <v>411266447</v>
      </c>
      <c r="BG665" s="18">
        <f t="shared" si="87"/>
        <v>0</v>
      </c>
      <c r="BH665" s="23"/>
      <c r="BI665" s="23"/>
      <c r="BJ665" s="23"/>
    </row>
    <row r="666" spans="1:66" ht="15" customHeight="1" x14ac:dyDescent="0.2">
      <c r="A666" s="1">
        <v>8000284616</v>
      </c>
      <c r="B666" s="1">
        <v>800028461</v>
      </c>
      <c r="C666" s="15">
        <v>211115511</v>
      </c>
      <c r="D666" s="16" t="s">
        <v>278</v>
      </c>
      <c r="E666" s="41" t="s">
        <v>1311</v>
      </c>
      <c r="F666" s="28"/>
      <c r="G666" s="17"/>
      <c r="H666" s="3"/>
      <c r="I666" s="2"/>
      <c r="J666" s="29"/>
      <c r="K666" s="3"/>
      <c r="L666" s="17"/>
      <c r="M666" s="34"/>
      <c r="N666" s="3"/>
      <c r="O666" s="17"/>
      <c r="P666" s="3"/>
      <c r="Q666" s="2"/>
      <c r="R666" s="3"/>
      <c r="S666" s="3"/>
      <c r="T666" s="17"/>
      <c r="U666" s="8">
        <f t="shared" si="82"/>
        <v>0</v>
      </c>
      <c r="V666" s="8"/>
      <c r="W666" s="8"/>
      <c r="X666" s="8"/>
      <c r="Y666" s="8"/>
      <c r="Z666" s="8"/>
      <c r="AA666" s="8"/>
      <c r="AB666" s="8"/>
      <c r="AC666" s="8">
        <f t="shared" si="83"/>
        <v>0</v>
      </c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>
        <v>12910565</v>
      </c>
      <c r="AZ666" s="8"/>
      <c r="BA666" s="8">
        <f>VLOOKUP(B666,[1]Hoja3!J$3:K$674,2,0)</f>
        <v>29334488</v>
      </c>
      <c r="BB666" s="8"/>
      <c r="BC666" s="8">
        <f t="shared" si="84"/>
        <v>42245053</v>
      </c>
      <c r="BD666" s="4">
        <v>12910565</v>
      </c>
      <c r="BE666" s="4">
        <f t="shared" si="85"/>
        <v>29334488</v>
      </c>
      <c r="BF666" s="30">
        <f t="shared" si="86"/>
        <v>42245053</v>
      </c>
      <c r="BG666" s="18">
        <f t="shared" si="87"/>
        <v>0</v>
      </c>
      <c r="BH666" s="23"/>
      <c r="BI666" s="14"/>
      <c r="BJ666" s="14"/>
      <c r="BK666" s="14"/>
      <c r="BL666" s="14"/>
      <c r="BM666" s="14"/>
      <c r="BN666" s="14"/>
    </row>
    <row r="667" spans="1:66" ht="15" customHeight="1" x14ac:dyDescent="0.2">
      <c r="A667" s="1">
        <v>8999994754</v>
      </c>
      <c r="B667" s="1">
        <v>899999475</v>
      </c>
      <c r="C667" s="15">
        <v>211325513</v>
      </c>
      <c r="D667" s="16" t="s">
        <v>519</v>
      </c>
      <c r="E667" s="41" t="s">
        <v>1545</v>
      </c>
      <c r="F667" s="28"/>
      <c r="G667" s="2"/>
      <c r="H667" s="3"/>
      <c r="I667" s="2"/>
      <c r="J667" s="29"/>
      <c r="K667" s="3"/>
      <c r="L667" s="2"/>
      <c r="M667" s="8"/>
      <c r="N667" s="3"/>
      <c r="O667" s="2"/>
      <c r="P667" s="3"/>
      <c r="Q667" s="2"/>
      <c r="R667" s="3"/>
      <c r="S667" s="3"/>
      <c r="T667" s="2"/>
      <c r="U667" s="8">
        <f t="shared" si="82"/>
        <v>0</v>
      </c>
      <c r="V667" s="8"/>
      <c r="W667" s="8"/>
      <c r="X667" s="8"/>
      <c r="Y667" s="8"/>
      <c r="Z667" s="8"/>
      <c r="AA667" s="8"/>
      <c r="AB667" s="8"/>
      <c r="AC667" s="8">
        <f t="shared" si="83"/>
        <v>0</v>
      </c>
      <c r="AD667" s="8"/>
      <c r="AE667" s="8"/>
      <c r="AF667" s="8"/>
      <c r="AG667" s="8"/>
      <c r="AH667" s="8"/>
      <c r="AI667" s="8"/>
      <c r="AJ667" s="8"/>
      <c r="AK667" s="8"/>
      <c r="AL667" s="8"/>
      <c r="AM667" s="8">
        <v>377204060</v>
      </c>
      <c r="AN667" s="8">
        <f>SUBTOTAL(9,AC667:AM667)</f>
        <v>377204060</v>
      </c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>
        <v>180618040</v>
      </c>
      <c r="AZ667" s="8"/>
      <c r="BA667" s="8"/>
      <c r="BB667" s="8"/>
      <c r="BC667" s="8">
        <f t="shared" si="84"/>
        <v>557822100</v>
      </c>
      <c r="BD667" s="4">
        <v>180618040</v>
      </c>
      <c r="BE667" s="4">
        <f t="shared" si="85"/>
        <v>377204060</v>
      </c>
      <c r="BF667" s="30">
        <f t="shared" si="86"/>
        <v>557822100</v>
      </c>
      <c r="BG667" s="18">
        <f t="shared" si="87"/>
        <v>0</v>
      </c>
      <c r="BH667" s="23"/>
      <c r="BI667" s="23"/>
      <c r="BJ667" s="23"/>
    </row>
    <row r="668" spans="1:66" ht="15" customHeight="1" x14ac:dyDescent="0.2">
      <c r="A668" s="1">
        <v>8908011361</v>
      </c>
      <c r="B668" s="1">
        <v>890801136</v>
      </c>
      <c r="C668" s="15">
        <v>211317513</v>
      </c>
      <c r="D668" s="16" t="s">
        <v>350</v>
      </c>
      <c r="E668" s="41" t="s">
        <v>1380</v>
      </c>
      <c r="F668" s="28"/>
      <c r="G668" s="2"/>
      <c r="H668" s="3"/>
      <c r="I668" s="2"/>
      <c r="J668" s="29"/>
      <c r="K668" s="3"/>
      <c r="L668" s="2"/>
      <c r="M668" s="8"/>
      <c r="N668" s="3"/>
      <c r="O668" s="2"/>
      <c r="P668" s="3"/>
      <c r="Q668" s="2"/>
      <c r="R668" s="3"/>
      <c r="S668" s="3"/>
      <c r="T668" s="2"/>
      <c r="U668" s="8">
        <f t="shared" si="82"/>
        <v>0</v>
      </c>
      <c r="V668" s="8"/>
      <c r="W668" s="8"/>
      <c r="X668" s="8"/>
      <c r="Y668" s="8"/>
      <c r="Z668" s="8"/>
      <c r="AA668" s="8"/>
      <c r="AB668" s="8"/>
      <c r="AC668" s="8">
        <f t="shared" si="83"/>
        <v>0</v>
      </c>
      <c r="AD668" s="8"/>
      <c r="AE668" s="8"/>
      <c r="AF668" s="8"/>
      <c r="AG668" s="8"/>
      <c r="AH668" s="8"/>
      <c r="AI668" s="8"/>
      <c r="AJ668" s="8"/>
      <c r="AK668" s="8"/>
      <c r="AL668" s="8"/>
      <c r="AM668" s="8">
        <v>185926779</v>
      </c>
      <c r="AN668" s="8">
        <f>SUBTOTAL(9,AC668:AM668)</f>
        <v>185926779</v>
      </c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>
        <v>101874730</v>
      </c>
      <c r="AZ668" s="8"/>
      <c r="BA668" s="8"/>
      <c r="BB668" s="8"/>
      <c r="BC668" s="8">
        <f t="shared" si="84"/>
        <v>287801509</v>
      </c>
      <c r="BD668" s="4">
        <v>101874730</v>
      </c>
      <c r="BE668" s="4">
        <f t="shared" si="85"/>
        <v>185926779</v>
      </c>
      <c r="BF668" s="30">
        <f t="shared" si="86"/>
        <v>287801509</v>
      </c>
      <c r="BG668" s="18">
        <f t="shared" si="87"/>
        <v>0</v>
      </c>
      <c r="BH668" s="23"/>
      <c r="BI668" s="23"/>
      <c r="BJ668" s="23"/>
    </row>
    <row r="669" spans="1:66" ht="15" customHeight="1" x14ac:dyDescent="0.2">
      <c r="A669" s="1">
        <v>8000959787</v>
      </c>
      <c r="B669" s="1">
        <v>800095978</v>
      </c>
      <c r="C669" s="15">
        <v>211319513</v>
      </c>
      <c r="D669" s="16" t="s">
        <v>394</v>
      </c>
      <c r="E669" s="41" t="s">
        <v>1423</v>
      </c>
      <c r="F669" s="28"/>
      <c r="G669" s="2"/>
      <c r="H669" s="3"/>
      <c r="I669" s="2"/>
      <c r="J669" s="29"/>
      <c r="K669" s="3"/>
      <c r="L669" s="2"/>
      <c r="M669" s="8"/>
      <c r="N669" s="3"/>
      <c r="O669" s="2"/>
      <c r="P669" s="3"/>
      <c r="Q669" s="2"/>
      <c r="R669" s="3"/>
      <c r="S669" s="3"/>
      <c r="T669" s="2"/>
      <c r="U669" s="8">
        <f t="shared" si="82"/>
        <v>0</v>
      </c>
      <c r="V669" s="8"/>
      <c r="W669" s="8"/>
      <c r="X669" s="8"/>
      <c r="Y669" s="8"/>
      <c r="Z669" s="8"/>
      <c r="AA669" s="8"/>
      <c r="AB669" s="8"/>
      <c r="AC669" s="8">
        <f t="shared" si="83"/>
        <v>0</v>
      </c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>
        <v>67173895</v>
      </c>
      <c r="AZ669" s="8"/>
      <c r="BA669" s="8">
        <f>VLOOKUP(B669,[1]Hoja3!J$3:K$674,2,0)</f>
        <v>146941093</v>
      </c>
      <c r="BB669" s="8"/>
      <c r="BC669" s="8">
        <f t="shared" si="84"/>
        <v>214114988</v>
      </c>
      <c r="BD669" s="4">
        <v>67173895</v>
      </c>
      <c r="BE669" s="4">
        <f t="shared" si="85"/>
        <v>146941093</v>
      </c>
      <c r="BF669" s="30">
        <f t="shared" si="86"/>
        <v>214114988</v>
      </c>
      <c r="BG669" s="18">
        <f t="shared" si="87"/>
        <v>0</v>
      </c>
      <c r="BH669" s="23"/>
      <c r="BI669" s="23"/>
      <c r="BJ669" s="23"/>
    </row>
    <row r="670" spans="1:66" ht="15" customHeight="1" x14ac:dyDescent="0.2">
      <c r="A670" s="1">
        <v>8000495083</v>
      </c>
      <c r="B670" s="1">
        <v>800049508</v>
      </c>
      <c r="C670" s="15">
        <v>211415514</v>
      </c>
      <c r="D670" s="16" t="s">
        <v>279</v>
      </c>
      <c r="E670" s="41" t="s">
        <v>1312</v>
      </c>
      <c r="F670" s="28"/>
      <c r="G670" s="2"/>
      <c r="H670" s="3"/>
      <c r="I670" s="2"/>
      <c r="J670" s="29"/>
      <c r="K670" s="3"/>
      <c r="L670" s="2"/>
      <c r="M670" s="8"/>
      <c r="N670" s="3"/>
      <c r="O670" s="2"/>
      <c r="P670" s="3"/>
      <c r="Q670" s="2"/>
      <c r="R670" s="3"/>
      <c r="S670" s="3"/>
      <c r="T670" s="2"/>
      <c r="U670" s="8">
        <f t="shared" si="82"/>
        <v>0</v>
      </c>
      <c r="V670" s="8"/>
      <c r="W670" s="8"/>
      <c r="X670" s="8"/>
      <c r="Y670" s="8"/>
      <c r="Z670" s="8"/>
      <c r="AA670" s="8"/>
      <c r="AB670" s="8"/>
      <c r="AC670" s="8">
        <f t="shared" si="83"/>
        <v>0</v>
      </c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>
        <v>22383220</v>
      </c>
      <c r="AZ670" s="8"/>
      <c r="BA670" s="8">
        <f>VLOOKUP(B670,[1]Hoja3!J$3:K$674,2,0)</f>
        <v>44206296</v>
      </c>
      <c r="BB670" s="8"/>
      <c r="BC670" s="8">
        <f t="shared" si="84"/>
        <v>66589516</v>
      </c>
      <c r="BD670" s="4">
        <v>22383220</v>
      </c>
      <c r="BE670" s="4">
        <f t="shared" si="85"/>
        <v>44206296</v>
      </c>
      <c r="BF670" s="30">
        <f t="shared" si="86"/>
        <v>66589516</v>
      </c>
      <c r="BG670" s="18">
        <f t="shared" si="87"/>
        <v>0</v>
      </c>
      <c r="BH670" s="23"/>
      <c r="BI670" s="23"/>
      <c r="BJ670" s="23"/>
    </row>
    <row r="671" spans="1:66" ht="15" customHeight="1" x14ac:dyDescent="0.2">
      <c r="A671" s="1">
        <v>8000959802</v>
      </c>
      <c r="B671" s="1">
        <v>800095980</v>
      </c>
      <c r="C671" s="15">
        <v>211719517</v>
      </c>
      <c r="D671" s="16" t="s">
        <v>395</v>
      </c>
      <c r="E671" s="41" t="s">
        <v>1424</v>
      </c>
      <c r="F671" s="28"/>
      <c r="G671" s="17"/>
      <c r="H671" s="3"/>
      <c r="I671" s="2"/>
      <c r="J671" s="29"/>
      <c r="K671" s="3"/>
      <c r="L671" s="17"/>
      <c r="M671" s="34"/>
      <c r="N671" s="3"/>
      <c r="O671" s="17"/>
      <c r="P671" s="3"/>
      <c r="Q671" s="2"/>
      <c r="R671" s="3"/>
      <c r="S671" s="3"/>
      <c r="T671" s="17"/>
      <c r="U671" s="8">
        <f t="shared" si="82"/>
        <v>0</v>
      </c>
      <c r="V671" s="8"/>
      <c r="W671" s="8"/>
      <c r="X671" s="8"/>
      <c r="Y671" s="8"/>
      <c r="Z671" s="8"/>
      <c r="AA671" s="8"/>
      <c r="AB671" s="8"/>
      <c r="AC671" s="8">
        <f t="shared" si="83"/>
        <v>0</v>
      </c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>
        <f>VLOOKUP(B671,[1]Hoja3!J$3:K$674,2,0)</f>
        <v>122000177</v>
      </c>
      <c r="BB671" s="8"/>
      <c r="BC671" s="8">
        <f t="shared" si="84"/>
        <v>122000177</v>
      </c>
      <c r="BD671" s="4"/>
      <c r="BE671" s="4">
        <f t="shared" si="85"/>
        <v>122000177</v>
      </c>
      <c r="BF671" s="30">
        <f t="shared" si="86"/>
        <v>122000177</v>
      </c>
      <c r="BG671" s="18">
        <f t="shared" si="87"/>
        <v>0</v>
      </c>
      <c r="BH671" s="23"/>
      <c r="BI671" s="14"/>
      <c r="BJ671" s="14"/>
      <c r="BK671" s="14"/>
      <c r="BL671" s="14"/>
      <c r="BM671" s="14"/>
      <c r="BN671" s="14"/>
    </row>
    <row r="672" spans="1:66" ht="15" customHeight="1" x14ac:dyDescent="0.2">
      <c r="A672" s="1">
        <v>8911801944</v>
      </c>
      <c r="B672" s="1">
        <v>891180194</v>
      </c>
      <c r="C672" s="15">
        <v>211841518</v>
      </c>
      <c r="D672" s="16" t="s">
        <v>612</v>
      </c>
      <c r="E672" s="41" t="s">
        <v>1632</v>
      </c>
      <c r="F672" s="28"/>
      <c r="G672" s="2"/>
      <c r="H672" s="3"/>
      <c r="I672" s="2"/>
      <c r="J672" s="29"/>
      <c r="K672" s="3"/>
      <c r="L672" s="2"/>
      <c r="M672" s="8"/>
      <c r="N672" s="3"/>
      <c r="O672" s="2"/>
      <c r="P672" s="3"/>
      <c r="Q672" s="2"/>
      <c r="R672" s="3"/>
      <c r="S672" s="3"/>
      <c r="T672" s="2"/>
      <c r="U672" s="8">
        <f t="shared" si="82"/>
        <v>0</v>
      </c>
      <c r="V672" s="8"/>
      <c r="W672" s="8"/>
      <c r="X672" s="8"/>
      <c r="Y672" s="8"/>
      <c r="Z672" s="8"/>
      <c r="AA672" s="8"/>
      <c r="AB672" s="8"/>
      <c r="AC672" s="8">
        <f t="shared" si="83"/>
        <v>0</v>
      </c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>
        <v>40515250</v>
      </c>
      <c r="AZ672" s="8"/>
      <c r="BA672" s="8">
        <f>VLOOKUP(B672,[1]Hoja3!J$3:K$674,2,0)</f>
        <v>95999155</v>
      </c>
      <c r="BB672" s="8"/>
      <c r="BC672" s="8">
        <f t="shared" si="84"/>
        <v>136514405</v>
      </c>
      <c r="BD672" s="4">
        <v>40515250</v>
      </c>
      <c r="BE672" s="4">
        <f t="shared" si="85"/>
        <v>95999155</v>
      </c>
      <c r="BF672" s="30">
        <f t="shared" si="86"/>
        <v>136514405</v>
      </c>
      <c r="BG672" s="18">
        <f t="shared" si="87"/>
        <v>0</v>
      </c>
      <c r="BH672" s="23"/>
      <c r="BI672" s="23"/>
      <c r="BJ672" s="23"/>
    </row>
    <row r="673" spans="1:66" ht="15" customHeight="1" x14ac:dyDescent="0.2">
      <c r="A673" s="1">
        <v>8000966107</v>
      </c>
      <c r="B673" s="1">
        <v>800096610</v>
      </c>
      <c r="C673" s="15">
        <v>211720517</v>
      </c>
      <c r="D673" s="16" t="s">
        <v>428</v>
      </c>
      <c r="E673" s="41" t="s">
        <v>1455</v>
      </c>
      <c r="F673" s="28"/>
      <c r="G673" s="2"/>
      <c r="H673" s="3"/>
      <c r="I673" s="2"/>
      <c r="J673" s="29"/>
      <c r="K673" s="3"/>
      <c r="L673" s="2"/>
      <c r="M673" s="8"/>
      <c r="N673" s="3"/>
      <c r="O673" s="2"/>
      <c r="P673" s="3"/>
      <c r="Q673" s="2"/>
      <c r="R673" s="3"/>
      <c r="S673" s="3"/>
      <c r="T673" s="2"/>
      <c r="U673" s="8">
        <f t="shared" si="82"/>
        <v>0</v>
      </c>
      <c r="V673" s="8"/>
      <c r="W673" s="8"/>
      <c r="X673" s="8"/>
      <c r="Y673" s="8"/>
      <c r="Z673" s="8"/>
      <c r="AA673" s="8"/>
      <c r="AB673" s="8"/>
      <c r="AC673" s="8">
        <f t="shared" si="83"/>
        <v>0</v>
      </c>
      <c r="AD673" s="8"/>
      <c r="AE673" s="8"/>
      <c r="AF673" s="8"/>
      <c r="AG673" s="8"/>
      <c r="AH673" s="8"/>
      <c r="AI673" s="8"/>
      <c r="AJ673" s="8"/>
      <c r="AK673" s="8"/>
      <c r="AL673" s="8"/>
      <c r="AM673" s="8">
        <v>243743704</v>
      </c>
      <c r="AN673" s="8">
        <f t="shared" ref="AN673:AN678" si="90">SUBTOTAL(9,AC673:AM673)</f>
        <v>243743704</v>
      </c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>
        <v>158759990</v>
      </c>
      <c r="AZ673" s="8"/>
      <c r="BA673" s="8">
        <f>VLOOKUP(B673,[1]Hoja3!J$3:K$674,2,0)</f>
        <v>18422494</v>
      </c>
      <c r="BB673" s="8"/>
      <c r="BC673" s="8">
        <f t="shared" si="84"/>
        <v>420926188</v>
      </c>
      <c r="BD673" s="4">
        <v>158759990</v>
      </c>
      <c r="BE673" s="4">
        <f t="shared" si="85"/>
        <v>262166198</v>
      </c>
      <c r="BF673" s="30">
        <f t="shared" si="86"/>
        <v>420926188</v>
      </c>
      <c r="BG673" s="18">
        <f t="shared" si="87"/>
        <v>0</v>
      </c>
      <c r="BH673" s="23"/>
      <c r="BI673" s="23"/>
      <c r="BJ673" s="23"/>
    </row>
    <row r="674" spans="1:66" ht="15" customHeight="1" x14ac:dyDescent="0.2">
      <c r="A674" s="1">
        <v>8999997046</v>
      </c>
      <c r="B674" s="1">
        <v>899999704</v>
      </c>
      <c r="C674" s="15">
        <v>211825518</v>
      </c>
      <c r="D674" s="16" t="s">
        <v>520</v>
      </c>
      <c r="E674" s="41" t="s">
        <v>1546</v>
      </c>
      <c r="F674" s="28"/>
      <c r="G674" s="2"/>
      <c r="H674" s="3"/>
      <c r="I674" s="2"/>
      <c r="J674" s="29"/>
      <c r="K674" s="3"/>
      <c r="L674" s="2"/>
      <c r="M674" s="8"/>
      <c r="N674" s="3"/>
      <c r="O674" s="2"/>
      <c r="P674" s="3"/>
      <c r="Q674" s="2"/>
      <c r="R674" s="3"/>
      <c r="S674" s="3"/>
      <c r="T674" s="2"/>
      <c r="U674" s="8">
        <f t="shared" si="82"/>
        <v>0</v>
      </c>
      <c r="V674" s="8"/>
      <c r="W674" s="8"/>
      <c r="X674" s="8"/>
      <c r="Y674" s="8"/>
      <c r="Z674" s="8"/>
      <c r="AA674" s="8"/>
      <c r="AB674" s="8"/>
      <c r="AC674" s="8">
        <f t="shared" si="83"/>
        <v>0</v>
      </c>
      <c r="AD674" s="8"/>
      <c r="AE674" s="8"/>
      <c r="AF674" s="8"/>
      <c r="AG674" s="8"/>
      <c r="AH674" s="8"/>
      <c r="AI674" s="8"/>
      <c r="AJ674" s="8"/>
      <c r="AK674" s="8"/>
      <c r="AL674" s="8"/>
      <c r="AM674" s="8">
        <v>62210214</v>
      </c>
      <c r="AN674" s="8">
        <f t="shared" si="90"/>
        <v>62210214</v>
      </c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>
        <v>43907810</v>
      </c>
      <c r="AZ674" s="8"/>
      <c r="BA674" s="8"/>
      <c r="BB674" s="8"/>
      <c r="BC674" s="8">
        <f t="shared" si="84"/>
        <v>106118024</v>
      </c>
      <c r="BD674" s="4">
        <v>43907810</v>
      </c>
      <c r="BE674" s="4">
        <f t="shared" si="85"/>
        <v>62210214</v>
      </c>
      <c r="BF674" s="30">
        <f t="shared" si="86"/>
        <v>106118024</v>
      </c>
      <c r="BG674" s="18">
        <f t="shared" si="87"/>
        <v>0</v>
      </c>
      <c r="BH674" s="23"/>
      <c r="BI674" s="23"/>
      <c r="BJ674" s="23"/>
    </row>
    <row r="675" spans="1:66" ht="15" customHeight="1" x14ac:dyDescent="0.2">
      <c r="A675" s="1">
        <v>8918012401</v>
      </c>
      <c r="B675" s="1">
        <v>891801240</v>
      </c>
      <c r="C675" s="15">
        <v>211615516</v>
      </c>
      <c r="D675" s="16" t="s">
        <v>280</v>
      </c>
      <c r="E675" s="41" t="s">
        <v>1313</v>
      </c>
      <c r="F675" s="28"/>
      <c r="G675" s="17"/>
      <c r="H675" s="3"/>
      <c r="I675" s="2"/>
      <c r="J675" s="29"/>
      <c r="K675" s="3"/>
      <c r="L675" s="17"/>
      <c r="M675" s="34"/>
      <c r="N675" s="3"/>
      <c r="O675" s="17"/>
      <c r="P675" s="3"/>
      <c r="Q675" s="2"/>
      <c r="R675" s="3"/>
      <c r="S675" s="3"/>
      <c r="T675" s="17"/>
      <c r="U675" s="8">
        <f t="shared" si="82"/>
        <v>0</v>
      </c>
      <c r="V675" s="8"/>
      <c r="W675" s="8"/>
      <c r="X675" s="8"/>
      <c r="Y675" s="8"/>
      <c r="Z675" s="8"/>
      <c r="AA675" s="8"/>
      <c r="AB675" s="8"/>
      <c r="AC675" s="8">
        <f t="shared" si="83"/>
        <v>0</v>
      </c>
      <c r="AD675" s="8"/>
      <c r="AE675" s="8"/>
      <c r="AF675" s="8"/>
      <c r="AG675" s="8"/>
      <c r="AH675" s="8"/>
      <c r="AI675" s="8"/>
      <c r="AJ675" s="8"/>
      <c r="AK675" s="8"/>
      <c r="AL675" s="8"/>
      <c r="AM675" s="8">
        <v>42384193</v>
      </c>
      <c r="AN675" s="8">
        <f t="shared" si="90"/>
        <v>42384193</v>
      </c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>
        <v>179020200</v>
      </c>
      <c r="AZ675" s="8"/>
      <c r="BA675" s="8">
        <f>VLOOKUP(B675,[1]Hoja3!J$3:K$674,2,0)</f>
        <v>375559943</v>
      </c>
      <c r="BB675" s="8"/>
      <c r="BC675" s="8">
        <f t="shared" si="84"/>
        <v>596964336</v>
      </c>
      <c r="BD675" s="4">
        <v>179020200</v>
      </c>
      <c r="BE675" s="4">
        <f t="shared" si="85"/>
        <v>417944136</v>
      </c>
      <c r="BF675" s="30">
        <f t="shared" si="86"/>
        <v>596964336</v>
      </c>
      <c r="BG675" s="18">
        <f t="shared" si="87"/>
        <v>0</v>
      </c>
      <c r="BH675" s="23"/>
      <c r="BI675" s="14"/>
      <c r="BJ675" s="14"/>
      <c r="BK675" s="14"/>
      <c r="BL675" s="14"/>
      <c r="BM675" s="14"/>
      <c r="BN675" s="14"/>
    </row>
    <row r="676" spans="1:66" ht="15" customHeight="1" x14ac:dyDescent="0.2">
      <c r="A676" s="1">
        <v>8000655937</v>
      </c>
      <c r="B676" s="1">
        <v>800065593</v>
      </c>
      <c r="C676" s="15">
        <v>211815518</v>
      </c>
      <c r="D676" s="16" t="s">
        <v>281</v>
      </c>
      <c r="E676" s="41" t="s">
        <v>1314</v>
      </c>
      <c r="F676" s="28"/>
      <c r="G676" s="17"/>
      <c r="H676" s="3"/>
      <c r="I676" s="2"/>
      <c r="J676" s="29"/>
      <c r="K676" s="3"/>
      <c r="L676" s="17"/>
      <c r="M676" s="34"/>
      <c r="N676" s="3"/>
      <c r="O676" s="17"/>
      <c r="P676" s="3"/>
      <c r="Q676" s="2"/>
      <c r="R676" s="3"/>
      <c r="S676" s="3"/>
      <c r="T676" s="17"/>
      <c r="U676" s="8">
        <f t="shared" si="82"/>
        <v>0</v>
      </c>
      <c r="V676" s="8"/>
      <c r="W676" s="8"/>
      <c r="X676" s="8"/>
      <c r="Y676" s="8"/>
      <c r="Z676" s="8"/>
      <c r="AA676" s="8"/>
      <c r="AB676" s="8"/>
      <c r="AC676" s="8">
        <f t="shared" si="83"/>
        <v>0</v>
      </c>
      <c r="AD676" s="8"/>
      <c r="AE676" s="8"/>
      <c r="AF676" s="8"/>
      <c r="AG676" s="8"/>
      <c r="AH676" s="8"/>
      <c r="AI676" s="8"/>
      <c r="AJ676" s="8"/>
      <c r="AK676" s="8"/>
      <c r="AL676" s="8"/>
      <c r="AM676" s="8">
        <v>31464048</v>
      </c>
      <c r="AN676" s="8">
        <f t="shared" si="90"/>
        <v>31464048</v>
      </c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>
        <v>16869385</v>
      </c>
      <c r="AZ676" s="8"/>
      <c r="BA676" s="8"/>
      <c r="BB676" s="8"/>
      <c r="BC676" s="8">
        <f t="shared" si="84"/>
        <v>48333433</v>
      </c>
      <c r="BD676" s="4">
        <v>16869385</v>
      </c>
      <c r="BE676" s="4">
        <f t="shared" si="85"/>
        <v>31464048</v>
      </c>
      <c r="BF676" s="30">
        <f t="shared" si="86"/>
        <v>48333433</v>
      </c>
      <c r="BG676" s="18">
        <f t="shared" si="87"/>
        <v>0</v>
      </c>
      <c r="BH676" s="23"/>
      <c r="BI676" s="14"/>
      <c r="BJ676" s="14"/>
      <c r="BK676" s="14"/>
      <c r="BL676" s="14"/>
      <c r="BM676" s="14"/>
      <c r="BN676" s="14"/>
    </row>
    <row r="677" spans="1:66" ht="15" customHeight="1" x14ac:dyDescent="0.2">
      <c r="A677" s="1">
        <v>8911800219</v>
      </c>
      <c r="B677" s="1">
        <v>891180021</v>
      </c>
      <c r="C677" s="15">
        <v>212441524</v>
      </c>
      <c r="D677" s="16" t="s">
        <v>613</v>
      </c>
      <c r="E677" s="41" t="s">
        <v>1633</v>
      </c>
      <c r="F677" s="28"/>
      <c r="G677" s="2"/>
      <c r="H677" s="3"/>
      <c r="I677" s="2"/>
      <c r="J677" s="29"/>
      <c r="K677" s="3"/>
      <c r="L677" s="2"/>
      <c r="M677" s="8"/>
      <c r="N677" s="3"/>
      <c r="O677" s="2"/>
      <c r="P677" s="3"/>
      <c r="Q677" s="2"/>
      <c r="R677" s="3"/>
      <c r="S677" s="3"/>
      <c r="T677" s="2"/>
      <c r="U677" s="8">
        <f t="shared" si="82"/>
        <v>0</v>
      </c>
      <c r="V677" s="8"/>
      <c r="W677" s="8"/>
      <c r="X677" s="8"/>
      <c r="Y677" s="8"/>
      <c r="Z677" s="8"/>
      <c r="AA677" s="8"/>
      <c r="AB677" s="8"/>
      <c r="AC677" s="8">
        <f t="shared" si="83"/>
        <v>0</v>
      </c>
      <c r="AD677" s="8"/>
      <c r="AE677" s="8"/>
      <c r="AF677" s="8"/>
      <c r="AG677" s="8"/>
      <c r="AH677" s="8"/>
      <c r="AI677" s="8"/>
      <c r="AJ677" s="8"/>
      <c r="AK677" s="8"/>
      <c r="AL677" s="8"/>
      <c r="AM677" s="8">
        <v>371791332</v>
      </c>
      <c r="AN677" s="8">
        <f t="shared" si="90"/>
        <v>371791332</v>
      </c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>
        <v>158944410</v>
      </c>
      <c r="AZ677" s="8"/>
      <c r="BA677" s="8"/>
      <c r="BB677" s="8"/>
      <c r="BC677" s="8">
        <f t="shared" si="84"/>
        <v>530735742</v>
      </c>
      <c r="BD677" s="4">
        <v>158944410</v>
      </c>
      <c r="BE677" s="4">
        <f t="shared" si="85"/>
        <v>371791332</v>
      </c>
      <c r="BF677" s="30">
        <f t="shared" si="86"/>
        <v>530735742</v>
      </c>
      <c r="BG677" s="18">
        <f t="shared" si="87"/>
        <v>0</v>
      </c>
      <c r="BH677" s="23"/>
      <c r="BI677" s="23"/>
      <c r="BJ677" s="23"/>
    </row>
    <row r="678" spans="1:66" ht="15" customHeight="1" x14ac:dyDescent="0.2">
      <c r="A678" s="1">
        <v>8908011417</v>
      </c>
      <c r="B678" s="1">
        <v>890801141</v>
      </c>
      <c r="C678" s="15">
        <v>212417524</v>
      </c>
      <c r="D678" s="16" t="s">
        <v>351</v>
      </c>
      <c r="E678" s="41" t="s">
        <v>2086</v>
      </c>
      <c r="F678" s="28"/>
      <c r="G678" s="2"/>
      <c r="H678" s="3"/>
      <c r="I678" s="2"/>
      <c r="J678" s="29"/>
      <c r="K678" s="3"/>
      <c r="L678" s="2"/>
      <c r="M678" s="8"/>
      <c r="N678" s="3"/>
      <c r="O678" s="2"/>
      <c r="P678" s="3"/>
      <c r="Q678" s="2"/>
      <c r="R678" s="3"/>
      <c r="S678" s="3"/>
      <c r="T678" s="2"/>
      <c r="U678" s="8">
        <f t="shared" si="82"/>
        <v>0</v>
      </c>
      <c r="V678" s="8"/>
      <c r="W678" s="8"/>
      <c r="X678" s="8"/>
      <c r="Y678" s="8"/>
      <c r="Z678" s="8"/>
      <c r="AA678" s="8"/>
      <c r="AB678" s="8"/>
      <c r="AC678" s="8">
        <f t="shared" si="83"/>
        <v>0</v>
      </c>
      <c r="AD678" s="8"/>
      <c r="AE678" s="8"/>
      <c r="AF678" s="8"/>
      <c r="AG678" s="8"/>
      <c r="AH678" s="8"/>
      <c r="AI678" s="8"/>
      <c r="AJ678" s="8"/>
      <c r="AK678" s="8"/>
      <c r="AL678" s="8"/>
      <c r="AM678" s="8">
        <v>243541760</v>
      </c>
      <c r="AN678" s="8">
        <f t="shared" si="90"/>
        <v>243541760</v>
      </c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>
        <v>114603225</v>
      </c>
      <c r="AZ678" s="8"/>
      <c r="BA678" s="8"/>
      <c r="BB678" s="8"/>
      <c r="BC678" s="8">
        <f t="shared" si="84"/>
        <v>358144985</v>
      </c>
      <c r="BD678" s="4">
        <v>114603225</v>
      </c>
      <c r="BE678" s="4">
        <f t="shared" si="85"/>
        <v>243541760</v>
      </c>
      <c r="BF678" s="30">
        <f t="shared" si="86"/>
        <v>358144985</v>
      </c>
      <c r="BG678" s="18">
        <f t="shared" si="87"/>
        <v>0</v>
      </c>
      <c r="BH678" s="23"/>
      <c r="BI678" s="23"/>
      <c r="BJ678" s="23"/>
    </row>
    <row r="679" spans="1:66" ht="15" customHeight="1" x14ac:dyDescent="0.2">
      <c r="A679" s="1">
        <v>8911027641</v>
      </c>
      <c r="B679" s="1">
        <v>891102764</v>
      </c>
      <c r="C679" s="15">
        <v>213041530</v>
      </c>
      <c r="D679" s="16" t="s">
        <v>614</v>
      </c>
      <c r="E679" s="41" t="s">
        <v>1634</v>
      </c>
      <c r="F679" s="28"/>
      <c r="G679" s="17"/>
      <c r="H679" s="3"/>
      <c r="I679" s="2"/>
      <c r="J679" s="29"/>
      <c r="K679" s="3"/>
      <c r="L679" s="17"/>
      <c r="M679" s="34"/>
      <c r="N679" s="3"/>
      <c r="O679" s="17"/>
      <c r="P679" s="3"/>
      <c r="Q679" s="2"/>
      <c r="R679" s="3"/>
      <c r="S679" s="3"/>
      <c r="T679" s="17"/>
      <c r="U679" s="8">
        <f t="shared" si="82"/>
        <v>0</v>
      </c>
      <c r="V679" s="8"/>
      <c r="W679" s="8"/>
      <c r="X679" s="8"/>
      <c r="Y679" s="8"/>
      <c r="Z679" s="8"/>
      <c r="AA679" s="8"/>
      <c r="AB679" s="8"/>
      <c r="AC679" s="8">
        <f t="shared" si="83"/>
        <v>0</v>
      </c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>
        <v>88308295</v>
      </c>
      <c r="AZ679" s="8"/>
      <c r="BA679" s="8">
        <f>VLOOKUP(B679,[1]Hoja3!J$3:K$674,2,0)</f>
        <v>206854243</v>
      </c>
      <c r="BB679" s="8"/>
      <c r="BC679" s="8">
        <f t="shared" si="84"/>
        <v>295162538</v>
      </c>
      <c r="BD679" s="4">
        <v>88308295</v>
      </c>
      <c r="BE679" s="4">
        <f t="shared" si="85"/>
        <v>206854243</v>
      </c>
      <c r="BF679" s="30">
        <f t="shared" si="86"/>
        <v>295162538</v>
      </c>
      <c r="BG679" s="18">
        <f t="shared" si="87"/>
        <v>0</v>
      </c>
      <c r="BH679" s="23"/>
      <c r="BI679" s="14"/>
      <c r="BJ679" s="14"/>
      <c r="BK679" s="14"/>
      <c r="BL679" s="14"/>
      <c r="BM679" s="14"/>
      <c r="BN679" s="14"/>
    </row>
    <row r="680" spans="1:66" ht="15" customHeight="1" x14ac:dyDescent="0.2">
      <c r="A680" s="1">
        <v>8000944498</v>
      </c>
      <c r="B680" s="1">
        <v>800094449</v>
      </c>
      <c r="C680" s="15">
        <v>212008520</v>
      </c>
      <c r="D680" s="16" t="s">
        <v>2146</v>
      </c>
      <c r="E680" s="41" t="s">
        <v>1197</v>
      </c>
      <c r="F680" s="28"/>
      <c r="G680" s="2"/>
      <c r="H680" s="3"/>
      <c r="I680" s="2"/>
      <c r="J680" s="29"/>
      <c r="K680" s="3"/>
      <c r="L680" s="2"/>
      <c r="M680" s="8"/>
      <c r="N680" s="3"/>
      <c r="O680" s="2"/>
      <c r="P680" s="3"/>
      <c r="Q680" s="2"/>
      <c r="R680" s="3"/>
      <c r="S680" s="3"/>
      <c r="T680" s="2"/>
      <c r="U680" s="8">
        <f t="shared" si="82"/>
        <v>0</v>
      </c>
      <c r="V680" s="8"/>
      <c r="W680" s="8"/>
      <c r="X680" s="8"/>
      <c r="Y680" s="8"/>
      <c r="Z680" s="8"/>
      <c r="AA680" s="8"/>
      <c r="AB680" s="8"/>
      <c r="AC680" s="8">
        <f t="shared" si="83"/>
        <v>0</v>
      </c>
      <c r="AD680" s="8"/>
      <c r="AE680" s="8"/>
      <c r="AF680" s="8"/>
      <c r="AG680" s="8"/>
      <c r="AH680" s="8"/>
      <c r="AI680" s="8"/>
      <c r="AJ680" s="8"/>
      <c r="AK680" s="8"/>
      <c r="AL680" s="8"/>
      <c r="AM680" s="8">
        <v>286660649</v>
      </c>
      <c r="AN680" s="8">
        <f>SUBTOTAL(9,AC680:AM680)</f>
        <v>286660649</v>
      </c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>
        <v>179596765</v>
      </c>
      <c r="AZ680" s="8"/>
      <c r="BA680" s="8">
        <f>VLOOKUP(B680,[1]Hoja3!J$3:K$674,2,0)</f>
        <v>122409936</v>
      </c>
      <c r="BB680" s="8"/>
      <c r="BC680" s="8">
        <f t="shared" si="84"/>
        <v>588667350</v>
      </c>
      <c r="BD680" s="4">
        <v>179596765</v>
      </c>
      <c r="BE680" s="4">
        <f t="shared" si="85"/>
        <v>409070585</v>
      </c>
      <c r="BF680" s="30">
        <f t="shared" si="86"/>
        <v>588667350</v>
      </c>
      <c r="BG680" s="18">
        <f t="shared" si="87"/>
        <v>0</v>
      </c>
      <c r="BH680" s="23"/>
      <c r="BI680" s="23"/>
      <c r="BJ680" s="23"/>
    </row>
    <row r="681" spans="1:66" ht="15" customHeight="1" x14ac:dyDescent="0.2">
      <c r="A681" s="1">
        <v>8000998185</v>
      </c>
      <c r="B681" s="1">
        <v>800099818</v>
      </c>
      <c r="C681" s="15">
        <v>212268522</v>
      </c>
      <c r="D681" s="16" t="s">
        <v>863</v>
      </c>
      <c r="E681" s="41" t="s">
        <v>1877</v>
      </c>
      <c r="F681" s="28"/>
      <c r="G681" s="2"/>
      <c r="H681" s="3"/>
      <c r="I681" s="2"/>
      <c r="J681" s="29"/>
      <c r="K681" s="3"/>
      <c r="L681" s="2"/>
      <c r="M681" s="8"/>
      <c r="N681" s="3"/>
      <c r="O681" s="2"/>
      <c r="P681" s="3"/>
      <c r="Q681" s="2"/>
      <c r="R681" s="3"/>
      <c r="S681" s="3"/>
      <c r="T681" s="2"/>
      <c r="U681" s="8">
        <f t="shared" si="82"/>
        <v>0</v>
      </c>
      <c r="V681" s="8"/>
      <c r="W681" s="8"/>
      <c r="X681" s="8"/>
      <c r="Y681" s="8"/>
      <c r="Z681" s="8"/>
      <c r="AA681" s="8"/>
      <c r="AB681" s="8"/>
      <c r="AC681" s="8">
        <f t="shared" si="83"/>
        <v>0</v>
      </c>
      <c r="AD681" s="8"/>
      <c r="AE681" s="8"/>
      <c r="AF681" s="8"/>
      <c r="AG681" s="8"/>
      <c r="AH681" s="8"/>
      <c r="AI681" s="8"/>
      <c r="AJ681" s="8"/>
      <c r="AK681" s="8"/>
      <c r="AL681" s="8"/>
      <c r="AM681" s="8">
        <v>21221908</v>
      </c>
      <c r="AN681" s="8">
        <f>SUBTOTAL(9,AC681:AM681)</f>
        <v>21221908</v>
      </c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>
        <f t="shared" si="84"/>
        <v>21221908</v>
      </c>
      <c r="BD681" s="4"/>
      <c r="BE681" s="4">
        <f t="shared" si="85"/>
        <v>21221908</v>
      </c>
      <c r="BF681" s="30">
        <f t="shared" si="86"/>
        <v>21221908</v>
      </c>
      <c r="BG681" s="18">
        <f t="shared" si="87"/>
        <v>0</v>
      </c>
      <c r="BH681" s="23"/>
      <c r="BI681" s="23"/>
      <c r="BJ681" s="23"/>
    </row>
    <row r="682" spans="1:66" ht="15" customHeight="1" x14ac:dyDescent="0.2">
      <c r="A682" s="1">
        <v>8000032532</v>
      </c>
      <c r="B682" s="1">
        <v>800003253</v>
      </c>
      <c r="C682" s="15">
        <v>212468524</v>
      </c>
      <c r="D682" s="16" t="s">
        <v>864</v>
      </c>
      <c r="E682" s="41" t="s">
        <v>1878</v>
      </c>
      <c r="F682" s="28"/>
      <c r="G682" s="2"/>
      <c r="H682" s="3"/>
      <c r="I682" s="2"/>
      <c r="J682" s="29"/>
      <c r="K682" s="3"/>
      <c r="L682" s="2"/>
      <c r="M682" s="8"/>
      <c r="N682" s="3"/>
      <c r="O682" s="2"/>
      <c r="P682" s="3"/>
      <c r="Q682" s="2"/>
      <c r="R682" s="3"/>
      <c r="S682" s="3"/>
      <c r="T682" s="2"/>
      <c r="U682" s="8">
        <f t="shared" si="82"/>
        <v>0</v>
      </c>
      <c r="V682" s="8"/>
      <c r="W682" s="8"/>
      <c r="X682" s="8"/>
      <c r="Y682" s="8"/>
      <c r="Z682" s="8"/>
      <c r="AA682" s="8"/>
      <c r="AB682" s="8"/>
      <c r="AC682" s="8">
        <f t="shared" si="83"/>
        <v>0</v>
      </c>
      <c r="AD682" s="8"/>
      <c r="AE682" s="8"/>
      <c r="AF682" s="8"/>
      <c r="AG682" s="8"/>
      <c r="AH682" s="8"/>
      <c r="AI682" s="8"/>
      <c r="AJ682" s="8"/>
      <c r="AK682" s="8"/>
      <c r="AL682" s="8"/>
      <c r="AM682" s="8">
        <v>37511658</v>
      </c>
      <c r="AN682" s="8">
        <f>SUBTOTAL(9,AC682:AM682)</f>
        <v>37511658</v>
      </c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>
        <v>14940980</v>
      </c>
      <c r="AZ682" s="8"/>
      <c r="BA682" s="8"/>
      <c r="BB682" s="8"/>
      <c r="BC682" s="8">
        <f t="shared" si="84"/>
        <v>52452638</v>
      </c>
      <c r="BD682" s="4">
        <v>14940980</v>
      </c>
      <c r="BE682" s="4">
        <f t="shared" si="85"/>
        <v>37511658</v>
      </c>
      <c r="BF682" s="30">
        <f t="shared" si="86"/>
        <v>52452638</v>
      </c>
      <c r="BG682" s="18">
        <f t="shared" si="87"/>
        <v>0</v>
      </c>
      <c r="BH682" s="23"/>
      <c r="BI682" s="23"/>
      <c r="BJ682" s="23"/>
    </row>
    <row r="683" spans="1:66" ht="15" customHeight="1" x14ac:dyDescent="0.2">
      <c r="A683" s="1">
        <v>8913800073</v>
      </c>
      <c r="B683" s="1">
        <v>891380007</v>
      </c>
      <c r="C683" s="15">
        <v>212076520</v>
      </c>
      <c r="D683" s="16" t="s">
        <v>2181</v>
      </c>
      <c r="E683" s="53" t="s">
        <v>1054</v>
      </c>
      <c r="F683" s="28"/>
      <c r="G683" s="2"/>
      <c r="H683" s="3"/>
      <c r="I683" s="39">
        <f>6073048368+89039398</f>
        <v>6162087766</v>
      </c>
      <c r="J683" s="29">
        <v>413909452</v>
      </c>
      <c r="K683" s="3">
        <v>827272074</v>
      </c>
      <c r="L683" s="2"/>
      <c r="M683" s="37">
        <f>SUM(F683:L683)</f>
        <v>7403269292</v>
      </c>
      <c r="N683" s="3"/>
      <c r="O683" s="2"/>
      <c r="P683" s="3"/>
      <c r="Q683" s="2">
        <f>5927177024+40472453</f>
        <v>5967649477</v>
      </c>
      <c r="R683" s="3">
        <v>414062811</v>
      </c>
      <c r="S683" s="3">
        <f>413362622+414062811</f>
        <v>827425433</v>
      </c>
      <c r="T683" s="2"/>
      <c r="U683" s="8">
        <f t="shared" si="82"/>
        <v>14612407013</v>
      </c>
      <c r="V683" s="8"/>
      <c r="W683" s="8"/>
      <c r="X683" s="8"/>
      <c r="Y683" s="8">
        <v>7574901386</v>
      </c>
      <c r="Z683" s="8">
        <v>386909058</v>
      </c>
      <c r="AA683" s="8">
        <v>902489393</v>
      </c>
      <c r="AB683" s="8"/>
      <c r="AC683" s="8">
        <f t="shared" si="83"/>
        <v>23476706850</v>
      </c>
      <c r="AD683" s="8"/>
      <c r="AE683" s="8"/>
      <c r="AF683" s="8"/>
      <c r="AG683" s="8"/>
      <c r="AH683" s="8">
        <v>6966348500</v>
      </c>
      <c r="AI683" s="8">
        <v>539746603</v>
      </c>
      <c r="AJ683" s="8">
        <v>422028973</v>
      </c>
      <c r="AK683" s="8">
        <v>1064239290</v>
      </c>
      <c r="AL683" s="8"/>
      <c r="AM683" s="8">
        <v>3062489252</v>
      </c>
      <c r="AN683" s="8">
        <f>SUBTOTAL(9,AC683:AM683)</f>
        <v>35531559468</v>
      </c>
      <c r="AO683" s="8"/>
      <c r="AP683" s="8"/>
      <c r="AQ683" s="8">
        <v>1016251440</v>
      </c>
      <c r="AR683" s="8"/>
      <c r="AS683" s="8"/>
      <c r="AT683" s="8">
        <v>6966348500</v>
      </c>
      <c r="AU683" s="8"/>
      <c r="AV683" s="8">
        <v>422028973</v>
      </c>
      <c r="AW683" s="8">
        <v>721033874</v>
      </c>
      <c r="AX683" s="8"/>
      <c r="AY683" s="8"/>
      <c r="AZ683" s="8"/>
      <c r="BA683" s="8">
        <f>VLOOKUP(B683,[1]Hoja3!J$3:K$674,2,0)</f>
        <v>66180672</v>
      </c>
      <c r="BB683" s="8">
        <f>VLOOKUP(B683,'[2]anuladas en mayo gratuidad}'!K$2:L$55,2,0)</f>
        <v>75390113</v>
      </c>
      <c r="BC683" s="8">
        <f t="shared" si="84"/>
        <v>44648012814</v>
      </c>
      <c r="BD683" s="4">
        <v>41594733003</v>
      </c>
      <c r="BE683" s="4">
        <f t="shared" si="85"/>
        <v>3053279811</v>
      </c>
      <c r="BF683" s="30">
        <f t="shared" si="86"/>
        <v>44648012814</v>
      </c>
      <c r="BG683" s="18">
        <f t="shared" si="87"/>
        <v>0</v>
      </c>
      <c r="BH683" s="23"/>
      <c r="BI683" s="23"/>
      <c r="BJ683" s="23"/>
    </row>
    <row r="684" spans="1:66" ht="15" customHeight="1" x14ac:dyDescent="0.2">
      <c r="A684" s="1">
        <v>8922003128</v>
      </c>
      <c r="B684" s="1">
        <v>892200312</v>
      </c>
      <c r="C684" s="15">
        <v>212370523</v>
      </c>
      <c r="D684" s="16" t="s">
        <v>904</v>
      </c>
      <c r="E684" s="41" t="s">
        <v>1918</v>
      </c>
      <c r="F684" s="28"/>
      <c r="G684" s="2"/>
      <c r="H684" s="3"/>
      <c r="I684" s="2"/>
      <c r="J684" s="29"/>
      <c r="K684" s="3"/>
      <c r="L684" s="2"/>
      <c r="M684" s="8"/>
      <c r="N684" s="3"/>
      <c r="O684" s="2"/>
      <c r="P684" s="3"/>
      <c r="Q684" s="2"/>
      <c r="R684" s="3"/>
      <c r="S684" s="3"/>
      <c r="T684" s="2"/>
      <c r="U684" s="8">
        <f t="shared" si="82"/>
        <v>0</v>
      </c>
      <c r="V684" s="8"/>
      <c r="W684" s="8"/>
      <c r="X684" s="8"/>
      <c r="Y684" s="8"/>
      <c r="Z684" s="8"/>
      <c r="AA684" s="8"/>
      <c r="AB684" s="8"/>
      <c r="AC684" s="8">
        <f t="shared" si="83"/>
        <v>0</v>
      </c>
      <c r="AD684" s="8"/>
      <c r="AE684" s="8"/>
      <c r="AF684" s="8"/>
      <c r="AG684" s="8"/>
      <c r="AH684" s="8"/>
      <c r="AI684" s="8"/>
      <c r="AJ684" s="8"/>
      <c r="AK684" s="8"/>
      <c r="AL684" s="8"/>
      <c r="AM684" s="8">
        <v>282348719</v>
      </c>
      <c r="AN684" s="8">
        <f>SUBTOTAL(9,AC684:AM684)</f>
        <v>282348719</v>
      </c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>
        <v>185494790</v>
      </c>
      <c r="AZ684" s="8"/>
      <c r="BA684" s="8"/>
      <c r="BB684" s="8"/>
      <c r="BC684" s="8">
        <f t="shared" si="84"/>
        <v>467843509</v>
      </c>
      <c r="BD684" s="4">
        <v>185494790</v>
      </c>
      <c r="BE684" s="4">
        <f t="shared" si="85"/>
        <v>282348719</v>
      </c>
      <c r="BF684" s="30">
        <f t="shared" si="86"/>
        <v>467843509</v>
      </c>
      <c r="BG684" s="18">
        <f t="shared" si="87"/>
        <v>0</v>
      </c>
      <c r="BH684" s="23"/>
      <c r="BI684" s="23"/>
      <c r="BJ684" s="23"/>
    </row>
    <row r="685" spans="1:66" ht="15" customHeight="1" x14ac:dyDescent="0.2">
      <c r="A685" s="1">
        <v>8090026375</v>
      </c>
      <c r="B685" s="1">
        <v>809002637</v>
      </c>
      <c r="C685" s="15">
        <v>212073520</v>
      </c>
      <c r="D685" s="16" t="s">
        <v>2232</v>
      </c>
      <c r="E685" s="41" t="s">
        <v>1957</v>
      </c>
      <c r="F685" s="28"/>
      <c r="G685" s="2"/>
      <c r="H685" s="3"/>
      <c r="I685" s="2"/>
      <c r="J685" s="29"/>
      <c r="K685" s="3"/>
      <c r="L685" s="2"/>
      <c r="M685" s="8"/>
      <c r="N685" s="3"/>
      <c r="O685" s="2"/>
      <c r="P685" s="3"/>
      <c r="Q685" s="2"/>
      <c r="R685" s="3"/>
      <c r="S685" s="3"/>
      <c r="T685" s="2"/>
      <c r="U685" s="8">
        <f t="shared" si="82"/>
        <v>0</v>
      </c>
      <c r="V685" s="8"/>
      <c r="W685" s="8"/>
      <c r="X685" s="8"/>
      <c r="Y685" s="8"/>
      <c r="Z685" s="8"/>
      <c r="AA685" s="8"/>
      <c r="AB685" s="8"/>
      <c r="AC685" s="8">
        <f t="shared" si="83"/>
        <v>0</v>
      </c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>
        <v>60253555</v>
      </c>
      <c r="AZ685" s="8"/>
      <c r="BA685" s="8">
        <f>VLOOKUP(B685,[1]Hoja3!J$3:K$674,2,0)</f>
        <v>136144900</v>
      </c>
      <c r="BB685" s="8"/>
      <c r="BC685" s="8">
        <f t="shared" si="84"/>
        <v>196398455</v>
      </c>
      <c r="BD685" s="4">
        <v>60253555</v>
      </c>
      <c r="BE685" s="4">
        <f t="shared" si="85"/>
        <v>136144900</v>
      </c>
      <c r="BF685" s="30">
        <f t="shared" si="86"/>
        <v>196398455</v>
      </c>
      <c r="BG685" s="18">
        <f t="shared" si="87"/>
        <v>0</v>
      </c>
      <c r="BH685" s="23"/>
      <c r="BI685" s="23"/>
      <c r="BJ685" s="23"/>
    </row>
    <row r="686" spans="1:66" ht="15" customHeight="1" x14ac:dyDescent="0.2">
      <c r="A686" s="1">
        <v>8000076526</v>
      </c>
      <c r="B686" s="1">
        <v>800007652</v>
      </c>
      <c r="C686" s="15">
        <v>211854518</v>
      </c>
      <c r="D686" s="16" t="s">
        <v>775</v>
      </c>
      <c r="E686" s="41" t="s">
        <v>1793</v>
      </c>
      <c r="F686" s="28"/>
      <c r="G686" s="2"/>
      <c r="H686" s="3"/>
      <c r="I686" s="2"/>
      <c r="J686" s="29"/>
      <c r="K686" s="3"/>
      <c r="L686" s="2"/>
      <c r="M686" s="8"/>
      <c r="N686" s="3"/>
      <c r="O686" s="2"/>
      <c r="P686" s="3"/>
      <c r="Q686" s="2"/>
      <c r="R686" s="3"/>
      <c r="S686" s="3"/>
      <c r="T686" s="2"/>
      <c r="U686" s="8">
        <f t="shared" si="82"/>
        <v>0</v>
      </c>
      <c r="V686" s="8"/>
      <c r="W686" s="8"/>
      <c r="X686" s="8"/>
      <c r="Y686" s="8"/>
      <c r="Z686" s="8"/>
      <c r="AA686" s="8"/>
      <c r="AB686" s="8"/>
      <c r="AC686" s="8">
        <f t="shared" si="83"/>
        <v>0</v>
      </c>
      <c r="AD686" s="8"/>
      <c r="AE686" s="8"/>
      <c r="AF686" s="8"/>
      <c r="AG686" s="8"/>
      <c r="AH686" s="8"/>
      <c r="AI686" s="8"/>
      <c r="AJ686" s="8"/>
      <c r="AK686" s="8"/>
      <c r="AL686" s="8"/>
      <c r="AM686" s="8">
        <v>465542125</v>
      </c>
      <c r="AN686" s="8">
        <f>SUBTOTAL(9,AC686:AM686)</f>
        <v>465542125</v>
      </c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>
        <v>295657425</v>
      </c>
      <c r="AZ686" s="8"/>
      <c r="BA686" s="8">
        <f>VLOOKUP(B686,[1]Hoja3!J$3:K$674,2,0)</f>
        <v>93343255</v>
      </c>
      <c r="BB686" s="8"/>
      <c r="BC686" s="8">
        <f t="shared" si="84"/>
        <v>854542805</v>
      </c>
      <c r="BD686" s="4">
        <v>295657425</v>
      </c>
      <c r="BE686" s="4">
        <f t="shared" si="85"/>
        <v>558885380</v>
      </c>
      <c r="BF686" s="30">
        <f t="shared" si="86"/>
        <v>854542805</v>
      </c>
      <c r="BG686" s="18">
        <f t="shared" si="87"/>
        <v>0</v>
      </c>
      <c r="BH686" s="23"/>
      <c r="BI686" s="23"/>
      <c r="BJ686" s="23"/>
    </row>
    <row r="687" spans="1:66" ht="15" customHeight="1" x14ac:dyDescent="0.2">
      <c r="A687" s="1">
        <v>8905061168</v>
      </c>
      <c r="B687" s="1">
        <v>890506116</v>
      </c>
      <c r="C687" s="15">
        <v>212054520</v>
      </c>
      <c r="D687" s="16" t="s">
        <v>776</v>
      </c>
      <c r="E687" s="41" t="s">
        <v>1794</v>
      </c>
      <c r="F687" s="28"/>
      <c r="G687" s="17"/>
      <c r="H687" s="3"/>
      <c r="I687" s="2"/>
      <c r="J687" s="29"/>
      <c r="K687" s="3"/>
      <c r="L687" s="17"/>
      <c r="M687" s="34"/>
      <c r="N687" s="3"/>
      <c r="O687" s="17"/>
      <c r="P687" s="3"/>
      <c r="Q687" s="2"/>
      <c r="R687" s="3"/>
      <c r="S687" s="3"/>
      <c r="T687" s="17"/>
      <c r="U687" s="8">
        <f t="shared" si="82"/>
        <v>0</v>
      </c>
      <c r="V687" s="8"/>
      <c r="W687" s="8"/>
      <c r="X687" s="8"/>
      <c r="Y687" s="8"/>
      <c r="Z687" s="8"/>
      <c r="AA687" s="8"/>
      <c r="AB687" s="8"/>
      <c r="AC687" s="8">
        <f t="shared" si="83"/>
        <v>0</v>
      </c>
      <c r="AD687" s="8"/>
      <c r="AE687" s="8"/>
      <c r="AF687" s="8"/>
      <c r="AG687" s="8"/>
      <c r="AH687" s="8"/>
      <c r="AI687" s="8"/>
      <c r="AJ687" s="8"/>
      <c r="AK687" s="8"/>
      <c r="AL687" s="8"/>
      <c r="AM687" s="8">
        <v>45118822</v>
      </c>
      <c r="AN687" s="8">
        <f>SUBTOTAL(9,AC687:AM687)</f>
        <v>45118822</v>
      </c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>
        <v>37955275</v>
      </c>
      <c r="AZ687" s="8"/>
      <c r="BA687" s="8">
        <f>VLOOKUP(B687,[1]Hoja3!J$3:K$674,2,0)</f>
        <v>37665089</v>
      </c>
      <c r="BB687" s="8"/>
      <c r="BC687" s="8">
        <f t="shared" si="84"/>
        <v>120739186</v>
      </c>
      <c r="BD687" s="4">
        <v>37955275</v>
      </c>
      <c r="BE687" s="4">
        <f t="shared" si="85"/>
        <v>82783911</v>
      </c>
      <c r="BF687" s="30">
        <f t="shared" si="86"/>
        <v>120739186</v>
      </c>
      <c r="BG687" s="18">
        <f t="shared" si="87"/>
        <v>0</v>
      </c>
      <c r="BH687" s="23"/>
      <c r="BI687" s="14"/>
      <c r="BJ687" s="14"/>
      <c r="BK687" s="14"/>
      <c r="BL687" s="14"/>
      <c r="BM687" s="14"/>
      <c r="BN687" s="14"/>
    </row>
    <row r="688" spans="1:66" ht="15" customHeight="1" x14ac:dyDescent="0.2">
      <c r="A688" s="1">
        <v>8906801731</v>
      </c>
      <c r="B688" s="1">
        <v>890680173</v>
      </c>
      <c r="C688" s="15">
        <v>212425524</v>
      </c>
      <c r="D688" s="16" t="s">
        <v>521</v>
      </c>
      <c r="E688" s="41" t="s">
        <v>1547</v>
      </c>
      <c r="F688" s="28"/>
      <c r="G688" s="2"/>
      <c r="H688" s="3"/>
      <c r="I688" s="2"/>
      <c r="J688" s="29"/>
      <c r="K688" s="3"/>
      <c r="L688" s="2"/>
      <c r="M688" s="8"/>
      <c r="N688" s="3"/>
      <c r="O688" s="2"/>
      <c r="P688" s="3"/>
      <c r="Q688" s="2"/>
      <c r="R688" s="3"/>
      <c r="S688" s="3"/>
      <c r="T688" s="2"/>
      <c r="U688" s="8">
        <f t="shared" si="82"/>
        <v>0</v>
      </c>
      <c r="V688" s="8"/>
      <c r="W688" s="8"/>
      <c r="X688" s="8"/>
      <c r="Y688" s="8"/>
      <c r="Z688" s="8"/>
      <c r="AA688" s="8"/>
      <c r="AB688" s="8"/>
      <c r="AC688" s="8">
        <f t="shared" si="83"/>
        <v>0</v>
      </c>
      <c r="AD688" s="8"/>
      <c r="AE688" s="8"/>
      <c r="AF688" s="8"/>
      <c r="AG688" s="8"/>
      <c r="AH688" s="8"/>
      <c r="AI688" s="8"/>
      <c r="AJ688" s="8"/>
      <c r="AK688" s="8"/>
      <c r="AL688" s="8"/>
      <c r="AM688" s="8">
        <v>68521380</v>
      </c>
      <c r="AN688" s="8">
        <f>SUBTOTAL(9,AC688:AM688)</f>
        <v>68521380</v>
      </c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>
        <v>36800890</v>
      </c>
      <c r="AZ688" s="8"/>
      <c r="BA688" s="8"/>
      <c r="BB688" s="8"/>
      <c r="BC688" s="8">
        <f t="shared" si="84"/>
        <v>105322270</v>
      </c>
      <c r="BD688" s="4">
        <v>36800890</v>
      </c>
      <c r="BE688" s="4">
        <f t="shared" si="85"/>
        <v>68521380</v>
      </c>
      <c r="BF688" s="30">
        <f t="shared" si="86"/>
        <v>105322270</v>
      </c>
      <c r="BG688" s="18">
        <f t="shared" si="87"/>
        <v>0</v>
      </c>
      <c r="BH688" s="23"/>
      <c r="BI688" s="23"/>
      <c r="BJ688" s="23"/>
    </row>
    <row r="689" spans="1:66" ht="15" customHeight="1" x14ac:dyDescent="0.2">
      <c r="A689" s="1">
        <v>8000126289</v>
      </c>
      <c r="B689" s="1">
        <v>800012628</v>
      </c>
      <c r="C689" s="15">
        <v>212215522</v>
      </c>
      <c r="D689" s="16" t="s">
        <v>282</v>
      </c>
      <c r="E689" s="41" t="s">
        <v>1315</v>
      </c>
      <c r="F689" s="28"/>
      <c r="G689" s="17"/>
      <c r="H689" s="3"/>
      <c r="I689" s="2"/>
      <c r="J689" s="29"/>
      <c r="K689" s="3"/>
      <c r="L689" s="17"/>
      <c r="M689" s="34"/>
      <c r="N689" s="3"/>
      <c r="O689" s="17"/>
      <c r="P689" s="3"/>
      <c r="Q689" s="2"/>
      <c r="R689" s="3"/>
      <c r="S689" s="3"/>
      <c r="T689" s="17"/>
      <c r="U689" s="8">
        <f t="shared" si="82"/>
        <v>0</v>
      </c>
      <c r="V689" s="8"/>
      <c r="W689" s="8"/>
      <c r="X689" s="8"/>
      <c r="Y689" s="8"/>
      <c r="Z689" s="8"/>
      <c r="AA689" s="8"/>
      <c r="AB689" s="8"/>
      <c r="AC689" s="8">
        <f t="shared" si="83"/>
        <v>0</v>
      </c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>
        <v>14765465</v>
      </c>
      <c r="AZ689" s="8"/>
      <c r="BA689" s="8">
        <f>VLOOKUP(B689,[1]Hoja3!J$3:K$674,2,0)</f>
        <v>29151559</v>
      </c>
      <c r="BB689" s="8"/>
      <c r="BC689" s="8">
        <f t="shared" si="84"/>
        <v>43917024</v>
      </c>
      <c r="BD689" s="4">
        <v>14765465</v>
      </c>
      <c r="BE689" s="4">
        <f t="shared" si="85"/>
        <v>29151559</v>
      </c>
      <c r="BF689" s="30">
        <f t="shared" si="86"/>
        <v>43917024</v>
      </c>
      <c r="BG689" s="18">
        <f t="shared" si="87"/>
        <v>0</v>
      </c>
      <c r="BH689" s="23"/>
      <c r="BI689" s="14"/>
      <c r="BJ689" s="14"/>
      <c r="BK689" s="14"/>
      <c r="BL689" s="14"/>
      <c r="BM689" s="14"/>
      <c r="BN689" s="14"/>
    </row>
    <row r="690" spans="1:66" ht="15" customHeight="1" x14ac:dyDescent="0.2">
      <c r="A690" s="1">
        <v>8000998192</v>
      </c>
      <c r="B690" s="1">
        <v>800099819</v>
      </c>
      <c r="C690" s="15">
        <v>213368533</v>
      </c>
      <c r="D690" s="16" t="s">
        <v>865</v>
      </c>
      <c r="E690" s="41" t="s">
        <v>1879</v>
      </c>
      <c r="F690" s="28"/>
      <c r="G690" s="2"/>
      <c r="H690" s="3"/>
      <c r="I690" s="2"/>
      <c r="J690" s="29"/>
      <c r="K690" s="3"/>
      <c r="L690" s="2"/>
      <c r="M690" s="8"/>
      <c r="N690" s="3"/>
      <c r="O690" s="2"/>
      <c r="P690" s="3"/>
      <c r="Q690" s="2"/>
      <c r="R690" s="3"/>
      <c r="S690" s="3"/>
      <c r="T690" s="2"/>
      <c r="U690" s="8">
        <f t="shared" si="82"/>
        <v>0</v>
      </c>
      <c r="V690" s="8"/>
      <c r="W690" s="8"/>
      <c r="X690" s="8"/>
      <c r="Y690" s="8"/>
      <c r="Z690" s="8"/>
      <c r="AA690" s="8"/>
      <c r="AB690" s="8"/>
      <c r="AC690" s="8">
        <f t="shared" si="83"/>
        <v>0</v>
      </c>
      <c r="AD690" s="8"/>
      <c r="AE690" s="8"/>
      <c r="AF690" s="8"/>
      <c r="AG690" s="8"/>
      <c r="AH690" s="8"/>
      <c r="AI690" s="8"/>
      <c r="AJ690" s="8"/>
      <c r="AK690" s="8"/>
      <c r="AL690" s="8"/>
      <c r="AM690" s="8">
        <v>65522676</v>
      </c>
      <c r="AN690" s="8">
        <f>SUBTOTAL(9,AC690:AM690)</f>
        <v>65522676</v>
      </c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>
        <v>21570755</v>
      </c>
      <c r="AZ690" s="8"/>
      <c r="BA690" s="8"/>
      <c r="BB690" s="8"/>
      <c r="BC690" s="8">
        <f t="shared" si="84"/>
        <v>87093431</v>
      </c>
      <c r="BD690" s="4">
        <v>21570755</v>
      </c>
      <c r="BE690" s="4">
        <f t="shared" si="85"/>
        <v>65522676</v>
      </c>
      <c r="BF690" s="30">
        <f t="shared" si="86"/>
        <v>87093431</v>
      </c>
      <c r="BG690" s="18">
        <f t="shared" si="87"/>
        <v>0</v>
      </c>
      <c r="BH690" s="23"/>
      <c r="BI690" s="23"/>
      <c r="BJ690" s="23"/>
    </row>
    <row r="691" spans="1:66" ht="15" customHeight="1" x14ac:dyDescent="0.2">
      <c r="A691" s="1">
        <v>8000741205</v>
      </c>
      <c r="B691" s="1">
        <v>800074120</v>
      </c>
      <c r="C691" s="15">
        <v>213025530</v>
      </c>
      <c r="D691" s="16" t="s">
        <v>522</v>
      </c>
      <c r="E691" s="41" t="s">
        <v>1548</v>
      </c>
      <c r="F691" s="28"/>
      <c r="G691" s="2"/>
      <c r="H691" s="3"/>
      <c r="I691" s="2"/>
      <c r="J691" s="29"/>
      <c r="K691" s="3"/>
      <c r="L691" s="2"/>
      <c r="M691" s="8"/>
      <c r="N691" s="3"/>
      <c r="O691" s="2"/>
      <c r="P691" s="3"/>
      <c r="Q691" s="2"/>
      <c r="R691" s="3"/>
      <c r="S691" s="3"/>
      <c r="T691" s="2"/>
      <c r="U691" s="8">
        <f t="shared" si="82"/>
        <v>0</v>
      </c>
      <c r="V691" s="8"/>
      <c r="W691" s="8"/>
      <c r="X691" s="8"/>
      <c r="Y691" s="8"/>
      <c r="Z691" s="8"/>
      <c r="AA691" s="8"/>
      <c r="AB691" s="8"/>
      <c r="AC691" s="8">
        <f t="shared" si="83"/>
        <v>0</v>
      </c>
      <c r="AD691" s="8"/>
      <c r="AE691" s="8"/>
      <c r="AF691" s="8"/>
      <c r="AG691" s="8"/>
      <c r="AH691" s="8"/>
      <c r="AI691" s="8"/>
      <c r="AJ691" s="8"/>
      <c r="AK691" s="8"/>
      <c r="AL691" s="8"/>
      <c r="AM691" s="8">
        <v>170950761</v>
      </c>
      <c r="AN691" s="8">
        <f>SUBTOTAL(9,AC691:AM691)</f>
        <v>170950761</v>
      </c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>
        <v>60383115</v>
      </c>
      <c r="AZ691" s="8"/>
      <c r="BA691" s="8"/>
      <c r="BB691" s="8"/>
      <c r="BC691" s="8">
        <f t="shared" si="84"/>
        <v>231333876</v>
      </c>
      <c r="BD691" s="4">
        <v>60383115</v>
      </c>
      <c r="BE691" s="4">
        <f t="shared" si="85"/>
        <v>170950761</v>
      </c>
      <c r="BF691" s="30">
        <f t="shared" si="86"/>
        <v>231333876</v>
      </c>
      <c r="BG691" s="18">
        <f t="shared" si="87"/>
        <v>0</v>
      </c>
      <c r="BH691" s="23"/>
      <c r="BI691" s="23"/>
      <c r="BJ691" s="23"/>
    </row>
    <row r="692" spans="1:66" ht="15" customHeight="1" x14ac:dyDescent="0.2">
      <c r="A692" s="1">
        <v>8906801541</v>
      </c>
      <c r="B692" s="1">
        <v>890680154</v>
      </c>
      <c r="C692" s="15">
        <v>213525535</v>
      </c>
      <c r="D692" s="16" t="s">
        <v>523</v>
      </c>
      <c r="E692" s="41" t="s">
        <v>1549</v>
      </c>
      <c r="F692" s="28"/>
      <c r="G692" s="2"/>
      <c r="H692" s="3"/>
      <c r="I692" s="2"/>
      <c r="J692" s="29"/>
      <c r="K692" s="3"/>
      <c r="L692" s="2"/>
      <c r="M692" s="8"/>
      <c r="N692" s="3"/>
      <c r="O692" s="2"/>
      <c r="P692" s="3"/>
      <c r="Q692" s="2"/>
      <c r="R692" s="3"/>
      <c r="S692" s="3"/>
      <c r="T692" s="2"/>
      <c r="U692" s="8">
        <f t="shared" si="82"/>
        <v>0</v>
      </c>
      <c r="V692" s="8"/>
      <c r="W692" s="8"/>
      <c r="X692" s="8"/>
      <c r="Y692" s="8"/>
      <c r="Z692" s="8"/>
      <c r="AA692" s="8"/>
      <c r="AB692" s="8"/>
      <c r="AC692" s="8">
        <f t="shared" si="83"/>
        <v>0</v>
      </c>
      <c r="AD692" s="8"/>
      <c r="AE692" s="8"/>
      <c r="AF692" s="8"/>
      <c r="AG692" s="8"/>
      <c r="AH692" s="8"/>
      <c r="AI692" s="8"/>
      <c r="AJ692" s="8"/>
      <c r="AK692" s="8"/>
      <c r="AL692" s="8"/>
      <c r="AM692" s="8">
        <v>181528535</v>
      </c>
      <c r="AN692" s="8">
        <f>SUBTOTAL(9,AC692:AM692)</f>
        <v>181528535</v>
      </c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>
        <v>88232765</v>
      </c>
      <c r="AZ692" s="8"/>
      <c r="BA692" s="8"/>
      <c r="BB692" s="8"/>
      <c r="BC692" s="8">
        <f t="shared" si="84"/>
        <v>269761300</v>
      </c>
      <c r="BD692" s="4">
        <v>88232765</v>
      </c>
      <c r="BE692" s="4">
        <f t="shared" si="85"/>
        <v>181528535</v>
      </c>
      <c r="BF692" s="30">
        <f t="shared" si="86"/>
        <v>269761300</v>
      </c>
      <c r="BG692" s="18">
        <f t="shared" si="87"/>
        <v>0</v>
      </c>
      <c r="BH692" s="23"/>
      <c r="BI692" s="23"/>
      <c r="BJ692" s="23"/>
    </row>
    <row r="693" spans="1:66" ht="15" customHeight="1" x14ac:dyDescent="0.2">
      <c r="A693" s="1">
        <v>8912800003</v>
      </c>
      <c r="B693" s="1">
        <v>891280000</v>
      </c>
      <c r="C693" s="15">
        <v>210152001</v>
      </c>
      <c r="D693" s="16" t="s">
        <v>2182</v>
      </c>
      <c r="E693" s="53" t="s">
        <v>1053</v>
      </c>
      <c r="F693" s="28"/>
      <c r="G693" s="2"/>
      <c r="H693" s="3"/>
      <c r="I693" s="39">
        <f>10455417641+339545569</f>
        <v>10794963210</v>
      </c>
      <c r="J693" s="29">
        <v>706971757</v>
      </c>
      <c r="K693" s="3">
        <v>1407608905</v>
      </c>
      <c r="L693" s="2"/>
      <c r="M693" s="37">
        <f>SUM(F693:L693)</f>
        <v>12909543872</v>
      </c>
      <c r="N693" s="3"/>
      <c r="O693" s="2"/>
      <c r="P693" s="3"/>
      <c r="Q693" s="2">
        <f>9909954592+154338895</f>
        <v>10064293487</v>
      </c>
      <c r="R693" s="3">
        <v>706971757</v>
      </c>
      <c r="S693" s="3">
        <f>700637148+706971757</f>
        <v>1407608905</v>
      </c>
      <c r="T693" s="2"/>
      <c r="U693" s="8">
        <f t="shared" si="82"/>
        <v>25088418021</v>
      </c>
      <c r="V693" s="8"/>
      <c r="W693" s="8"/>
      <c r="X693" s="8"/>
      <c r="Y693" s="8">
        <v>17793449635</v>
      </c>
      <c r="Z693" s="8">
        <v>733343707</v>
      </c>
      <c r="AA693" s="8">
        <v>1666145270</v>
      </c>
      <c r="AB693" s="8"/>
      <c r="AC693" s="8">
        <f t="shared" si="83"/>
        <v>45281356633</v>
      </c>
      <c r="AD693" s="8"/>
      <c r="AE693" s="8"/>
      <c r="AF693" s="8"/>
      <c r="AG693" s="8"/>
      <c r="AH693" s="8">
        <v>10675344804</v>
      </c>
      <c r="AI693" s="8">
        <v>1395406373</v>
      </c>
      <c r="AJ693" s="8">
        <v>738151242</v>
      </c>
      <c r="AK693" s="8">
        <v>1859696997</v>
      </c>
      <c r="AL693" s="8"/>
      <c r="AM693" s="8">
        <v>3055277401</v>
      </c>
      <c r="AN693" s="8">
        <f>SUBTOTAL(9,AC693:AM693)</f>
        <v>63005233450</v>
      </c>
      <c r="AO693" s="8"/>
      <c r="AP693" s="8"/>
      <c r="AQ693" s="8">
        <v>1501340580</v>
      </c>
      <c r="AR693" s="8"/>
      <c r="AS693" s="8"/>
      <c r="AT693" s="8">
        <v>10675344804</v>
      </c>
      <c r="AU693" s="8"/>
      <c r="AV693" s="8">
        <v>738151242</v>
      </c>
      <c r="AW693" s="8">
        <v>1259441977</v>
      </c>
      <c r="AX693" s="8"/>
      <c r="AY693" s="8"/>
      <c r="AZ693" s="8"/>
      <c r="BA693" s="8">
        <f>VLOOKUP(B693,[1]Hoja3!J$3:K$674,2,0)</f>
        <v>401735692</v>
      </c>
      <c r="BB693" s="8"/>
      <c r="BC693" s="8">
        <f t="shared" si="84"/>
        <v>77581247745</v>
      </c>
      <c r="BD693" s="4">
        <v>74124234652</v>
      </c>
      <c r="BE693" s="4">
        <f t="shared" si="85"/>
        <v>3457013093</v>
      </c>
      <c r="BF693" s="30">
        <f t="shared" si="86"/>
        <v>77581247745</v>
      </c>
      <c r="BG693" s="18">
        <f t="shared" si="87"/>
        <v>0</v>
      </c>
      <c r="BH693" s="23"/>
      <c r="BI693" s="23"/>
      <c r="BJ693" s="23"/>
    </row>
    <row r="694" spans="1:66" ht="15" customHeight="1" x14ac:dyDescent="0.2">
      <c r="A694" s="1">
        <v>8915021948</v>
      </c>
      <c r="B694" s="1">
        <v>891502194</v>
      </c>
      <c r="C694" s="15">
        <v>213219532</v>
      </c>
      <c r="D694" s="16" t="s">
        <v>396</v>
      </c>
      <c r="E694" s="41" t="s">
        <v>1425</v>
      </c>
      <c r="F694" s="28"/>
      <c r="G694" s="2"/>
      <c r="H694" s="3"/>
      <c r="I694" s="2"/>
      <c r="J694" s="29"/>
      <c r="K694" s="3"/>
      <c r="L694" s="2"/>
      <c r="M694" s="8"/>
      <c r="N694" s="3"/>
      <c r="O694" s="2"/>
      <c r="P694" s="3"/>
      <c r="Q694" s="2"/>
      <c r="R694" s="3"/>
      <c r="S694" s="3"/>
      <c r="T694" s="2"/>
      <c r="U694" s="8">
        <f t="shared" si="82"/>
        <v>0</v>
      </c>
      <c r="V694" s="8"/>
      <c r="W694" s="8"/>
      <c r="X694" s="8"/>
      <c r="Y694" s="8"/>
      <c r="Z694" s="8"/>
      <c r="AA694" s="8"/>
      <c r="AB694" s="8"/>
      <c r="AC694" s="8">
        <f t="shared" si="83"/>
        <v>0</v>
      </c>
      <c r="AD694" s="8"/>
      <c r="AE694" s="8"/>
      <c r="AF694" s="8"/>
      <c r="AG694" s="8"/>
      <c r="AH694" s="8"/>
      <c r="AI694" s="8"/>
      <c r="AJ694" s="8"/>
      <c r="AK694" s="8"/>
      <c r="AL694" s="8"/>
      <c r="AM694" s="8">
        <v>21156569</v>
      </c>
      <c r="AN694" s="8">
        <f>SUBTOTAL(9,AC694:AM694)</f>
        <v>21156569</v>
      </c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>
        <v>233793590</v>
      </c>
      <c r="AZ694" s="8"/>
      <c r="BA694" s="8">
        <f>VLOOKUP(B694,[1]Hoja3!J$3:K$674,2,0)</f>
        <v>454918575</v>
      </c>
      <c r="BB694" s="8"/>
      <c r="BC694" s="8">
        <f t="shared" si="84"/>
        <v>709868734</v>
      </c>
      <c r="BD694" s="4">
        <v>233793590</v>
      </c>
      <c r="BE694" s="4">
        <f t="shared" si="85"/>
        <v>476075144</v>
      </c>
      <c r="BF694" s="30">
        <f t="shared" si="86"/>
        <v>709868734</v>
      </c>
      <c r="BG694" s="18">
        <f t="shared" si="87"/>
        <v>0</v>
      </c>
      <c r="BH694" s="23"/>
      <c r="BI694" s="23"/>
      <c r="BJ694" s="23"/>
    </row>
    <row r="695" spans="1:66" ht="15" customHeight="1" x14ac:dyDescent="0.2">
      <c r="A695" s="1">
        <v>8918013685</v>
      </c>
      <c r="B695" s="1">
        <v>891801368</v>
      </c>
      <c r="C695" s="15">
        <v>213115531</v>
      </c>
      <c r="D695" s="16" t="s">
        <v>283</v>
      </c>
      <c r="E695" s="41" t="s">
        <v>1254</v>
      </c>
      <c r="F695" s="28"/>
      <c r="G695" s="17"/>
      <c r="H695" s="3"/>
      <c r="I695" s="2"/>
      <c r="J695" s="29"/>
      <c r="K695" s="3"/>
      <c r="L695" s="17"/>
      <c r="M695" s="34"/>
      <c r="N695" s="3"/>
      <c r="O695" s="17"/>
      <c r="P695" s="3"/>
      <c r="Q695" s="2"/>
      <c r="R695" s="3"/>
      <c r="S695" s="3"/>
      <c r="T695" s="17"/>
      <c r="U695" s="8">
        <f t="shared" si="82"/>
        <v>0</v>
      </c>
      <c r="V695" s="8"/>
      <c r="W695" s="8"/>
      <c r="X695" s="8"/>
      <c r="Y695" s="8"/>
      <c r="Z695" s="8"/>
      <c r="AA695" s="8"/>
      <c r="AB695" s="8"/>
      <c r="AC695" s="8">
        <f t="shared" si="83"/>
        <v>0</v>
      </c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>
        <v>70533710</v>
      </c>
      <c r="AZ695" s="8"/>
      <c r="BA695" s="8">
        <f>VLOOKUP(B695,[1]Hoja3!J$3:K$674,2,0)</f>
        <v>127842999</v>
      </c>
      <c r="BB695" s="8"/>
      <c r="BC695" s="8">
        <f t="shared" si="84"/>
        <v>198376709</v>
      </c>
      <c r="BD695" s="4">
        <v>70533710</v>
      </c>
      <c r="BE695" s="4">
        <f t="shared" si="85"/>
        <v>127842999</v>
      </c>
      <c r="BF695" s="30">
        <f t="shared" si="86"/>
        <v>198376709</v>
      </c>
      <c r="BG695" s="18">
        <f t="shared" si="87"/>
        <v>0</v>
      </c>
      <c r="BH695" s="23"/>
      <c r="BI695" s="14"/>
      <c r="BJ695" s="14"/>
      <c r="BK695" s="14"/>
      <c r="BL695" s="14"/>
      <c r="BM695" s="14"/>
      <c r="BN695" s="14"/>
    </row>
    <row r="696" spans="1:66" ht="15" customHeight="1" x14ac:dyDescent="0.2">
      <c r="A696" s="1">
        <v>8000654115</v>
      </c>
      <c r="B696" s="1">
        <v>800065411</v>
      </c>
      <c r="C696" s="15">
        <v>213315533</v>
      </c>
      <c r="D696" s="16" t="s">
        <v>284</v>
      </c>
      <c r="E696" s="41" t="s">
        <v>1316</v>
      </c>
      <c r="F696" s="28"/>
      <c r="G696" s="17"/>
      <c r="H696" s="3"/>
      <c r="I696" s="2"/>
      <c r="J696" s="29"/>
      <c r="K696" s="3"/>
      <c r="L696" s="17"/>
      <c r="M696" s="34"/>
      <c r="N696" s="3"/>
      <c r="O696" s="17"/>
      <c r="P696" s="3"/>
      <c r="Q696" s="2"/>
      <c r="R696" s="3"/>
      <c r="S696" s="3"/>
      <c r="T696" s="17"/>
      <c r="U696" s="8">
        <f t="shared" si="82"/>
        <v>0</v>
      </c>
      <c r="V696" s="8"/>
      <c r="W696" s="8"/>
      <c r="X696" s="8"/>
      <c r="Y696" s="8"/>
      <c r="Z696" s="8"/>
      <c r="AA696" s="8"/>
      <c r="AB696" s="8"/>
      <c r="AC696" s="8">
        <f t="shared" si="83"/>
        <v>0</v>
      </c>
      <c r="AD696" s="8"/>
      <c r="AE696" s="8"/>
      <c r="AF696" s="8"/>
      <c r="AG696" s="8"/>
      <c r="AH696" s="8"/>
      <c r="AI696" s="8"/>
      <c r="AJ696" s="8"/>
      <c r="AK696" s="8"/>
      <c r="AL696" s="8"/>
      <c r="AM696" s="8">
        <v>27545630</v>
      </c>
      <c r="AN696" s="8">
        <f>SUBTOTAL(9,AC696:AM696)</f>
        <v>27545630</v>
      </c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>
        <v>29611195</v>
      </c>
      <c r="AZ696" s="8"/>
      <c r="BA696" s="8">
        <f>VLOOKUP(B696,[1]Hoja3!J$3:K$674,2,0)</f>
        <v>18229699</v>
      </c>
      <c r="BB696" s="8"/>
      <c r="BC696" s="8">
        <f t="shared" si="84"/>
        <v>75386524</v>
      </c>
      <c r="BD696" s="4">
        <v>29611195</v>
      </c>
      <c r="BE696" s="4">
        <f t="shared" si="85"/>
        <v>45775329</v>
      </c>
      <c r="BF696" s="30">
        <f t="shared" si="86"/>
        <v>75386524</v>
      </c>
      <c r="BG696" s="18">
        <f t="shared" si="87"/>
        <v>0</v>
      </c>
      <c r="BH696" s="23"/>
      <c r="BI696" s="14"/>
      <c r="BJ696" s="14"/>
      <c r="BK696" s="14"/>
      <c r="BL696" s="14"/>
      <c r="BM696" s="14"/>
      <c r="BN696" s="14"/>
    </row>
    <row r="697" spans="1:66" ht="15" customHeight="1" x14ac:dyDescent="0.2">
      <c r="A697" s="1">
        <v>8001036598</v>
      </c>
      <c r="B697" s="1">
        <v>800103659</v>
      </c>
      <c r="C697" s="15">
        <v>215085250</v>
      </c>
      <c r="D697" s="16" t="s">
        <v>964</v>
      </c>
      <c r="E697" s="41" t="s">
        <v>2025</v>
      </c>
      <c r="F697" s="28"/>
      <c r="G697" s="2"/>
      <c r="H697" s="3"/>
      <c r="I697" s="2"/>
      <c r="J697" s="29"/>
      <c r="K697" s="3"/>
      <c r="L697" s="2"/>
      <c r="M697" s="8"/>
      <c r="N697" s="3"/>
      <c r="O697" s="2"/>
      <c r="P697" s="3"/>
      <c r="Q697" s="2"/>
      <c r="R697" s="3"/>
      <c r="S697" s="3"/>
      <c r="T697" s="2"/>
      <c r="U697" s="8">
        <f t="shared" si="82"/>
        <v>0</v>
      </c>
      <c r="V697" s="8"/>
      <c r="W697" s="8"/>
      <c r="X697" s="8"/>
      <c r="Y697" s="8"/>
      <c r="Z697" s="8"/>
      <c r="AA697" s="8"/>
      <c r="AB697" s="8"/>
      <c r="AC697" s="8">
        <f t="shared" si="83"/>
        <v>0</v>
      </c>
      <c r="AD697" s="8"/>
      <c r="AE697" s="8"/>
      <c r="AF697" s="8"/>
      <c r="AG697" s="8"/>
      <c r="AH697" s="8"/>
      <c r="AI697" s="8"/>
      <c r="AJ697" s="8"/>
      <c r="AK697" s="8"/>
      <c r="AL697" s="8"/>
      <c r="AM697" s="8">
        <v>594659772</v>
      </c>
      <c r="AN697" s="8">
        <f>SUBTOTAL(9,AC697:AM697)</f>
        <v>594659772</v>
      </c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>
        <v>318930525</v>
      </c>
      <c r="AZ697" s="8"/>
      <c r="BA697" s="8"/>
      <c r="BB697" s="8"/>
      <c r="BC697" s="8">
        <f t="shared" si="84"/>
        <v>913590297</v>
      </c>
      <c r="BD697" s="4">
        <v>318930525</v>
      </c>
      <c r="BE697" s="4">
        <f t="shared" si="85"/>
        <v>594659772</v>
      </c>
      <c r="BF697" s="30">
        <f t="shared" si="86"/>
        <v>913590297</v>
      </c>
      <c r="BG697" s="18">
        <f t="shared" si="87"/>
        <v>0</v>
      </c>
      <c r="BH697" s="23"/>
      <c r="BI697" s="23"/>
      <c r="BJ697" s="23"/>
    </row>
    <row r="698" spans="1:66" ht="15" customHeight="1" x14ac:dyDescent="0.2">
      <c r="A698" s="1">
        <v>8918550152</v>
      </c>
      <c r="B698" s="1">
        <v>891855015</v>
      </c>
      <c r="C698" s="15">
        <v>213715537</v>
      </c>
      <c r="D698" s="16" t="s">
        <v>285</v>
      </c>
      <c r="E698" s="41" t="s">
        <v>1317</v>
      </c>
      <c r="F698" s="28"/>
      <c r="G698" s="17"/>
      <c r="H698" s="3"/>
      <c r="I698" s="2"/>
      <c r="J698" s="29"/>
      <c r="K698" s="3"/>
      <c r="L698" s="17"/>
      <c r="M698" s="34"/>
      <c r="N698" s="3"/>
      <c r="O698" s="17"/>
      <c r="P698" s="3"/>
      <c r="Q698" s="2"/>
      <c r="R698" s="3"/>
      <c r="S698" s="3"/>
      <c r="T698" s="17"/>
      <c r="U698" s="8">
        <f t="shared" si="82"/>
        <v>0</v>
      </c>
      <c r="V698" s="8"/>
      <c r="W698" s="8"/>
      <c r="X698" s="8"/>
      <c r="Y698" s="8"/>
      <c r="Z698" s="8"/>
      <c r="AA698" s="8"/>
      <c r="AB698" s="8"/>
      <c r="AC698" s="8">
        <f t="shared" si="83"/>
        <v>0</v>
      </c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>
        <v>33288440</v>
      </c>
      <c r="AZ698" s="8"/>
      <c r="BA698" s="8">
        <f>VLOOKUP(B698,[1]Hoja3!J$3:K$674,2,0)</f>
        <v>52572774</v>
      </c>
      <c r="BB698" s="8"/>
      <c r="BC698" s="8">
        <f t="shared" si="84"/>
        <v>85861214</v>
      </c>
      <c r="BD698" s="4">
        <v>33288440</v>
      </c>
      <c r="BE698" s="4">
        <f t="shared" si="85"/>
        <v>52572774</v>
      </c>
      <c r="BF698" s="30">
        <f t="shared" si="86"/>
        <v>85861214</v>
      </c>
      <c r="BG698" s="18">
        <f t="shared" si="87"/>
        <v>0</v>
      </c>
      <c r="BH698" s="23"/>
      <c r="BI698" s="14"/>
      <c r="BJ698" s="14"/>
      <c r="BK698" s="14"/>
      <c r="BL698" s="14"/>
      <c r="BM698" s="14"/>
      <c r="BN698" s="14"/>
    </row>
    <row r="699" spans="1:66" ht="15" customHeight="1" x14ac:dyDescent="0.2">
      <c r="A699" s="1">
        <v>8917800481</v>
      </c>
      <c r="B699" s="1">
        <v>891780048</v>
      </c>
      <c r="C699" s="15">
        <v>214147541</v>
      </c>
      <c r="D699" s="16" t="s">
        <v>651</v>
      </c>
      <c r="E699" s="41" t="s">
        <v>1671</v>
      </c>
      <c r="F699" s="28"/>
      <c r="G699" s="2"/>
      <c r="H699" s="3"/>
      <c r="I699" s="2"/>
      <c r="J699" s="29"/>
      <c r="K699" s="3"/>
      <c r="L699" s="2"/>
      <c r="M699" s="8"/>
      <c r="N699" s="3"/>
      <c r="O699" s="2"/>
      <c r="P699" s="3"/>
      <c r="Q699" s="2"/>
      <c r="R699" s="3"/>
      <c r="S699" s="3"/>
      <c r="T699" s="2"/>
      <c r="U699" s="8">
        <f t="shared" si="82"/>
        <v>0</v>
      </c>
      <c r="V699" s="8"/>
      <c r="W699" s="8"/>
      <c r="X699" s="8"/>
      <c r="Y699" s="8"/>
      <c r="Z699" s="8"/>
      <c r="AA699" s="8"/>
      <c r="AB699" s="8"/>
      <c r="AC699" s="8">
        <f t="shared" si="83"/>
        <v>0</v>
      </c>
      <c r="AD699" s="8"/>
      <c r="AE699" s="8"/>
      <c r="AF699" s="8"/>
      <c r="AG699" s="8"/>
      <c r="AH699" s="8"/>
      <c r="AI699" s="8"/>
      <c r="AJ699" s="8"/>
      <c r="AK699" s="8"/>
      <c r="AL699" s="8"/>
      <c r="AM699" s="8">
        <v>183961949</v>
      </c>
      <c r="AN699" s="8">
        <f>SUBTOTAL(9,AC699:AM699)</f>
        <v>183961949</v>
      </c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>
        <v>108832845</v>
      </c>
      <c r="AZ699" s="8"/>
      <c r="BA699" s="8">
        <f>VLOOKUP(B699,[1]Hoja3!J$3:K$674,2,0)</f>
        <v>9752572</v>
      </c>
      <c r="BB699" s="8">
        <f>VLOOKUP(B699,'[2]anuladas en mayo gratuidad}'!K$2:L$55,2,0)</f>
        <v>56541667</v>
      </c>
      <c r="BC699" s="8">
        <f t="shared" si="84"/>
        <v>246005699</v>
      </c>
      <c r="BD699" s="4">
        <v>108832845</v>
      </c>
      <c r="BE699" s="4">
        <f t="shared" si="85"/>
        <v>137172854</v>
      </c>
      <c r="BF699" s="30">
        <f t="shared" si="86"/>
        <v>246005699</v>
      </c>
      <c r="BG699" s="18">
        <f t="shared" si="87"/>
        <v>0</v>
      </c>
      <c r="BH699" s="23"/>
      <c r="BI699" s="23"/>
      <c r="BJ699" s="23"/>
    </row>
    <row r="700" spans="1:66" ht="15" customHeight="1" x14ac:dyDescent="0.2">
      <c r="A700" s="1">
        <v>8000966139</v>
      </c>
      <c r="B700" s="1">
        <v>800096613</v>
      </c>
      <c r="C700" s="15">
        <v>215020550</v>
      </c>
      <c r="D700" s="16" t="s">
        <v>429</v>
      </c>
      <c r="E700" s="41" t="s">
        <v>1456</v>
      </c>
      <c r="F700" s="28"/>
      <c r="G700" s="2"/>
      <c r="H700" s="3"/>
      <c r="I700" s="2"/>
      <c r="J700" s="29"/>
      <c r="K700" s="3"/>
      <c r="L700" s="2"/>
      <c r="M700" s="8"/>
      <c r="N700" s="3"/>
      <c r="O700" s="2"/>
      <c r="P700" s="3"/>
      <c r="Q700" s="2"/>
      <c r="R700" s="3"/>
      <c r="S700" s="3"/>
      <c r="T700" s="2"/>
      <c r="U700" s="8">
        <f t="shared" si="82"/>
        <v>0</v>
      </c>
      <c r="V700" s="8"/>
      <c r="W700" s="8"/>
      <c r="X700" s="8"/>
      <c r="Y700" s="8"/>
      <c r="Z700" s="8"/>
      <c r="AA700" s="8"/>
      <c r="AB700" s="8"/>
      <c r="AC700" s="8">
        <f t="shared" si="83"/>
        <v>0</v>
      </c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>
        <v>198206155</v>
      </c>
      <c r="AZ700" s="8"/>
      <c r="BA700" s="8">
        <f>VLOOKUP(B700,[1]Hoja3!J$3:K$674,2,0)</f>
        <v>259144316</v>
      </c>
      <c r="BB700" s="8"/>
      <c r="BC700" s="8">
        <f t="shared" si="84"/>
        <v>457350471</v>
      </c>
      <c r="BD700" s="4">
        <v>198206155</v>
      </c>
      <c r="BE700" s="4">
        <f t="shared" si="85"/>
        <v>259144316</v>
      </c>
      <c r="BF700" s="30">
        <f t="shared" si="86"/>
        <v>457350471</v>
      </c>
      <c r="BG700" s="18">
        <f t="shared" si="87"/>
        <v>0</v>
      </c>
      <c r="BH700" s="23"/>
      <c r="BI700" s="23"/>
      <c r="BJ700" s="23"/>
    </row>
    <row r="701" spans="1:66" ht="15" customHeight="1" x14ac:dyDescent="0.2">
      <c r="A701" s="1">
        <v>8909809171</v>
      </c>
      <c r="B701" s="1">
        <v>890980917</v>
      </c>
      <c r="C701" s="15">
        <v>214105541</v>
      </c>
      <c r="D701" s="16" t="s">
        <v>115</v>
      </c>
      <c r="E701" s="41" t="s">
        <v>1145</v>
      </c>
      <c r="F701" s="28"/>
      <c r="G701" s="2"/>
      <c r="H701" s="3"/>
      <c r="I701" s="2"/>
      <c r="J701" s="29"/>
      <c r="K701" s="3"/>
      <c r="L701" s="2"/>
      <c r="M701" s="8"/>
      <c r="N701" s="3"/>
      <c r="O701" s="2"/>
      <c r="P701" s="3"/>
      <c r="Q701" s="2"/>
      <c r="R701" s="3"/>
      <c r="S701" s="3"/>
      <c r="T701" s="2"/>
      <c r="U701" s="8">
        <f t="shared" si="82"/>
        <v>0</v>
      </c>
      <c r="V701" s="8"/>
      <c r="W701" s="8"/>
      <c r="X701" s="8"/>
      <c r="Y701" s="8"/>
      <c r="Z701" s="8"/>
      <c r="AA701" s="8"/>
      <c r="AB701" s="8"/>
      <c r="AC701" s="8">
        <f t="shared" si="83"/>
        <v>0</v>
      </c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>
        <v>104992915</v>
      </c>
      <c r="AZ701" s="8"/>
      <c r="BA701" s="8">
        <f>VLOOKUP(B701,[1]Hoja3!J$3:K$674,2,0)</f>
        <v>214314205</v>
      </c>
      <c r="BB701" s="8"/>
      <c r="BC701" s="8">
        <f t="shared" si="84"/>
        <v>319307120</v>
      </c>
      <c r="BD701" s="4">
        <v>104992915</v>
      </c>
      <c r="BE701" s="4">
        <f t="shared" si="85"/>
        <v>214314205</v>
      </c>
      <c r="BF701" s="30">
        <f t="shared" si="86"/>
        <v>319307120</v>
      </c>
      <c r="BG701" s="18">
        <f t="shared" si="87"/>
        <v>0</v>
      </c>
      <c r="BH701" s="23"/>
      <c r="BI701" s="23"/>
      <c r="BJ701" s="23"/>
    </row>
    <row r="702" spans="1:66" ht="15" customHeight="1" x14ac:dyDescent="0.2">
      <c r="A702" s="1">
        <v>8908011377</v>
      </c>
      <c r="B702" s="1">
        <v>890801137</v>
      </c>
      <c r="C702" s="15">
        <v>214117541</v>
      </c>
      <c r="D702" s="16" t="s">
        <v>352</v>
      </c>
      <c r="E702" s="41" t="s">
        <v>1381</v>
      </c>
      <c r="F702" s="28"/>
      <c r="G702" s="2"/>
      <c r="H702" s="3"/>
      <c r="I702" s="2"/>
      <c r="J702" s="29"/>
      <c r="K702" s="3"/>
      <c r="L702" s="2"/>
      <c r="M702" s="8"/>
      <c r="N702" s="3"/>
      <c r="O702" s="2"/>
      <c r="P702" s="3"/>
      <c r="Q702" s="2"/>
      <c r="R702" s="3"/>
      <c r="S702" s="3"/>
      <c r="T702" s="2"/>
      <c r="U702" s="8">
        <f t="shared" si="82"/>
        <v>0</v>
      </c>
      <c r="V702" s="8"/>
      <c r="W702" s="8"/>
      <c r="X702" s="8"/>
      <c r="Y702" s="8"/>
      <c r="Z702" s="8"/>
      <c r="AA702" s="8"/>
      <c r="AB702" s="8"/>
      <c r="AC702" s="8">
        <f t="shared" si="83"/>
        <v>0</v>
      </c>
      <c r="AD702" s="8"/>
      <c r="AE702" s="8"/>
      <c r="AF702" s="8"/>
      <c r="AG702" s="8"/>
      <c r="AH702" s="8"/>
      <c r="AI702" s="8"/>
      <c r="AJ702" s="8"/>
      <c r="AK702" s="8"/>
      <c r="AL702" s="8"/>
      <c r="AM702" s="8">
        <v>300096666</v>
      </c>
      <c r="AN702" s="8">
        <f>SUBTOTAL(9,AC702:AM702)</f>
        <v>300096666</v>
      </c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>
        <v>162108395</v>
      </c>
      <c r="AZ702" s="8"/>
      <c r="BA702" s="8"/>
      <c r="BB702" s="8"/>
      <c r="BC702" s="8">
        <f t="shared" si="84"/>
        <v>462205061</v>
      </c>
      <c r="BD702" s="4">
        <v>162108395</v>
      </c>
      <c r="BE702" s="4">
        <f t="shared" si="85"/>
        <v>300096666</v>
      </c>
      <c r="BF702" s="30">
        <f t="shared" si="86"/>
        <v>462205061</v>
      </c>
      <c r="BG702" s="18">
        <f t="shared" si="87"/>
        <v>0</v>
      </c>
      <c r="BH702" s="23"/>
      <c r="BI702" s="23"/>
      <c r="BJ702" s="23"/>
    </row>
    <row r="703" spans="1:66" ht="15" customHeight="1" x14ac:dyDescent="0.2">
      <c r="A703" s="1">
        <v>8909823014</v>
      </c>
      <c r="B703" s="1">
        <v>890982301</v>
      </c>
      <c r="C703" s="15">
        <v>214305543</v>
      </c>
      <c r="D703" s="16" t="s">
        <v>116</v>
      </c>
      <c r="E703" s="41" t="s">
        <v>1146</v>
      </c>
      <c r="F703" s="28"/>
      <c r="G703" s="2"/>
      <c r="H703" s="3"/>
      <c r="I703" s="2"/>
      <c r="J703" s="29"/>
      <c r="K703" s="3"/>
      <c r="L703" s="2"/>
      <c r="M703" s="8"/>
      <c r="N703" s="3"/>
      <c r="O703" s="2"/>
      <c r="P703" s="3"/>
      <c r="Q703" s="2"/>
      <c r="R703" s="3"/>
      <c r="S703" s="3"/>
      <c r="T703" s="2"/>
      <c r="U703" s="8">
        <f t="shared" si="82"/>
        <v>0</v>
      </c>
      <c r="V703" s="8"/>
      <c r="W703" s="8"/>
      <c r="X703" s="8"/>
      <c r="Y703" s="8"/>
      <c r="Z703" s="8"/>
      <c r="AA703" s="8"/>
      <c r="AB703" s="8"/>
      <c r="AC703" s="8">
        <f t="shared" si="83"/>
        <v>0</v>
      </c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>
        <v>76442700</v>
      </c>
      <c r="AZ703" s="8"/>
      <c r="BA703" s="8">
        <f>VLOOKUP(B703,[1]Hoja3!J$3:K$674,2,0)</f>
        <v>126411338</v>
      </c>
      <c r="BB703" s="8"/>
      <c r="BC703" s="8">
        <f t="shared" si="84"/>
        <v>202854038</v>
      </c>
      <c r="BD703" s="4">
        <v>76442700</v>
      </c>
      <c r="BE703" s="4">
        <f t="shared" si="85"/>
        <v>126411338</v>
      </c>
      <c r="BF703" s="30">
        <f t="shared" si="86"/>
        <v>202854038</v>
      </c>
      <c r="BG703" s="18">
        <f t="shared" si="87"/>
        <v>0</v>
      </c>
      <c r="BH703" s="23"/>
      <c r="BI703" s="23"/>
      <c r="BJ703" s="23"/>
    </row>
    <row r="704" spans="1:66" ht="15" customHeight="1" x14ac:dyDescent="0.2">
      <c r="A704" s="1">
        <v>8914800302</v>
      </c>
      <c r="B704" s="1">
        <v>891480030</v>
      </c>
      <c r="C704" s="15">
        <v>210166001</v>
      </c>
      <c r="D704" s="16" t="s">
        <v>2183</v>
      </c>
      <c r="E704" s="53" t="s">
        <v>1056</v>
      </c>
      <c r="F704" s="28"/>
      <c r="G704" s="2"/>
      <c r="H704" s="3"/>
      <c r="I704" s="39">
        <f>10398991823+583741396</f>
        <v>10982733219</v>
      </c>
      <c r="J704" s="29">
        <v>775045690</v>
      </c>
      <c r="K704" s="3">
        <v>1538088261</v>
      </c>
      <c r="L704" s="2"/>
      <c r="M704" s="37">
        <f>SUM(F704:L704)</f>
        <v>13295867170</v>
      </c>
      <c r="N704" s="3"/>
      <c r="O704" s="2"/>
      <c r="P704" s="3"/>
      <c r="Q704" s="2">
        <f>9904537257+265336998</f>
        <v>10169874255</v>
      </c>
      <c r="R704" s="3">
        <v>775045690</v>
      </c>
      <c r="S704" s="3">
        <f>763042571+775045690</f>
        <v>1538088261</v>
      </c>
      <c r="T704" s="2"/>
      <c r="U704" s="8">
        <f t="shared" si="82"/>
        <v>25778875376</v>
      </c>
      <c r="V704" s="8"/>
      <c r="W704" s="8"/>
      <c r="X704" s="8"/>
      <c r="Y704" s="8">
        <v>15021260523</v>
      </c>
      <c r="Z704" s="8">
        <v>742233133</v>
      </c>
      <c r="AA704" s="8">
        <v>1736164548</v>
      </c>
      <c r="AB704" s="8"/>
      <c r="AC704" s="8">
        <f t="shared" si="83"/>
        <v>43278533580</v>
      </c>
      <c r="AD704" s="8"/>
      <c r="AE704" s="8"/>
      <c r="AF704" s="8"/>
      <c r="AG704" s="8"/>
      <c r="AH704" s="8">
        <v>10750686953</v>
      </c>
      <c r="AI704" s="8">
        <v>2238634110</v>
      </c>
      <c r="AJ704" s="8">
        <v>802283216</v>
      </c>
      <c r="AK704" s="8">
        <v>2021144054</v>
      </c>
      <c r="AL704" s="8"/>
      <c r="AM704" s="8">
        <v>4629431226</v>
      </c>
      <c r="AN704" s="8">
        <f>SUBTOTAL(9,AC704:AM704)</f>
        <v>63720713139</v>
      </c>
      <c r="AO704" s="8"/>
      <c r="AP704" s="8"/>
      <c r="AQ704" s="8">
        <v>1823085020</v>
      </c>
      <c r="AR704" s="8"/>
      <c r="AS704" s="8"/>
      <c r="AT704" s="8">
        <v>10750686953</v>
      </c>
      <c r="AU704" s="8"/>
      <c r="AV704" s="8">
        <v>802283216</v>
      </c>
      <c r="AW704" s="8">
        <v>1369089740</v>
      </c>
      <c r="AX704" s="8"/>
      <c r="AY704" s="8"/>
      <c r="AZ704" s="8"/>
      <c r="BA704" s="8">
        <f>VLOOKUP(B704,[1]Hoja3!J$3:K$674,2,0)</f>
        <v>50243057</v>
      </c>
      <c r="BB704" s="8"/>
      <c r="BC704" s="8">
        <f t="shared" si="84"/>
        <v>78516101125</v>
      </c>
      <c r="BD704" s="4">
        <v>73836426842</v>
      </c>
      <c r="BE704" s="4">
        <f t="shared" si="85"/>
        <v>4679674283</v>
      </c>
      <c r="BF704" s="30">
        <f t="shared" si="86"/>
        <v>78516101125</v>
      </c>
      <c r="BG704" s="18">
        <f t="shared" si="87"/>
        <v>0</v>
      </c>
      <c r="BH704" s="23"/>
      <c r="BI704" s="23"/>
      <c r="BJ704" s="23"/>
    </row>
    <row r="705" spans="1:66" ht="15" customHeight="1" x14ac:dyDescent="0.2">
      <c r="A705" s="1">
        <v>8918564640</v>
      </c>
      <c r="B705" s="1">
        <v>891856464</v>
      </c>
      <c r="C705" s="15">
        <v>214215542</v>
      </c>
      <c r="D705" s="16" t="s">
        <v>286</v>
      </c>
      <c r="E705" s="41" t="s">
        <v>1318</v>
      </c>
      <c r="F705" s="28"/>
      <c r="G705" s="17"/>
      <c r="H705" s="3"/>
      <c r="I705" s="2"/>
      <c r="J705" s="29"/>
      <c r="K705" s="3"/>
      <c r="L705" s="17"/>
      <c r="M705" s="34"/>
      <c r="N705" s="3"/>
      <c r="O705" s="17"/>
      <c r="P705" s="3"/>
      <c r="Q705" s="2"/>
      <c r="R705" s="3"/>
      <c r="S705" s="3"/>
      <c r="T705" s="17"/>
      <c r="U705" s="8">
        <f t="shared" si="82"/>
        <v>0</v>
      </c>
      <c r="V705" s="8"/>
      <c r="W705" s="8"/>
      <c r="X705" s="8"/>
      <c r="Y705" s="8"/>
      <c r="Z705" s="8"/>
      <c r="AA705" s="8"/>
      <c r="AB705" s="8"/>
      <c r="AC705" s="8">
        <f t="shared" si="83"/>
        <v>0</v>
      </c>
      <c r="AD705" s="8"/>
      <c r="AE705" s="8"/>
      <c r="AF705" s="8"/>
      <c r="AG705" s="8"/>
      <c r="AH705" s="8"/>
      <c r="AI705" s="8"/>
      <c r="AJ705" s="8"/>
      <c r="AK705" s="8"/>
      <c r="AL705" s="8"/>
      <c r="AM705" s="8">
        <v>20196208</v>
      </c>
      <c r="AN705" s="8">
        <f>SUBTOTAL(9,AC705:AM705)</f>
        <v>20196208</v>
      </c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>
        <v>53686935</v>
      </c>
      <c r="AZ705" s="8"/>
      <c r="BA705" s="8">
        <f>VLOOKUP(B705,[1]Hoja3!J$3:K$674,2,0)</f>
        <v>79758802</v>
      </c>
      <c r="BB705" s="8"/>
      <c r="BC705" s="8">
        <f t="shared" si="84"/>
        <v>153641945</v>
      </c>
      <c r="BD705" s="4">
        <v>53686935</v>
      </c>
      <c r="BE705" s="4">
        <f t="shared" si="85"/>
        <v>99955010</v>
      </c>
      <c r="BF705" s="30">
        <f t="shared" si="86"/>
        <v>153641945</v>
      </c>
      <c r="BG705" s="18">
        <f t="shared" si="87"/>
        <v>0</v>
      </c>
      <c r="BH705" s="23"/>
      <c r="BI705" s="14"/>
      <c r="BJ705" s="14"/>
      <c r="BK705" s="14"/>
      <c r="BL705" s="14"/>
      <c r="BM705" s="14"/>
      <c r="BN705" s="14"/>
    </row>
    <row r="706" spans="1:66" ht="15" customHeight="1" x14ac:dyDescent="0.2">
      <c r="A706" s="1">
        <v>8170009925</v>
      </c>
      <c r="B706" s="1">
        <v>817000992</v>
      </c>
      <c r="C706" s="15">
        <v>213319533</v>
      </c>
      <c r="D706" s="16" t="s">
        <v>397</v>
      </c>
      <c r="E706" s="41" t="s">
        <v>1426</v>
      </c>
      <c r="F706" s="28"/>
      <c r="G706" s="17"/>
      <c r="H706" s="3"/>
      <c r="I706" s="2"/>
      <c r="J706" s="29"/>
      <c r="K706" s="3"/>
      <c r="L706" s="17"/>
      <c r="M706" s="34"/>
      <c r="N706" s="3"/>
      <c r="O706" s="17"/>
      <c r="P706" s="3"/>
      <c r="Q706" s="2"/>
      <c r="R706" s="3"/>
      <c r="S706" s="3"/>
      <c r="T706" s="17"/>
      <c r="U706" s="8">
        <f t="shared" si="82"/>
        <v>0</v>
      </c>
      <c r="V706" s="8"/>
      <c r="W706" s="8"/>
      <c r="X706" s="8"/>
      <c r="Y706" s="8"/>
      <c r="Z706" s="8"/>
      <c r="AA706" s="8"/>
      <c r="AB706" s="8"/>
      <c r="AC706" s="8">
        <f t="shared" si="83"/>
        <v>0</v>
      </c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>
        <v>121243415</v>
      </c>
      <c r="AZ706" s="8"/>
      <c r="BA706" s="8"/>
      <c r="BB706" s="8"/>
      <c r="BC706" s="8">
        <f t="shared" si="84"/>
        <v>121243415</v>
      </c>
      <c r="BD706" s="4">
        <v>121243415</v>
      </c>
      <c r="BE706" s="4">
        <f t="shared" si="85"/>
        <v>0</v>
      </c>
      <c r="BF706" s="30">
        <f t="shared" si="86"/>
        <v>121243415</v>
      </c>
      <c r="BG706" s="18">
        <f t="shared" si="87"/>
        <v>0</v>
      </c>
      <c r="BH706" s="23"/>
      <c r="BI706" s="14"/>
      <c r="BJ706" s="14"/>
      <c r="BK706" s="14"/>
      <c r="BL706" s="14"/>
      <c r="BM706" s="14"/>
      <c r="BN706" s="14"/>
    </row>
    <row r="707" spans="1:66" ht="15" customHeight="1" x14ac:dyDescent="0.2">
      <c r="A707" s="1">
        <v>8902053836</v>
      </c>
      <c r="B707" s="1">
        <v>890205383</v>
      </c>
      <c r="C707" s="15">
        <v>214768547</v>
      </c>
      <c r="D707" s="16" t="s">
        <v>866</v>
      </c>
      <c r="E707" s="53" t="s">
        <v>1840</v>
      </c>
      <c r="F707" s="28"/>
      <c r="G707" s="2"/>
      <c r="H707" s="3"/>
      <c r="I707" s="39">
        <f>4240064464+151364276</f>
        <v>4391428740</v>
      </c>
      <c r="J707" s="29">
        <v>272631596</v>
      </c>
      <c r="K707" s="3">
        <v>549406714</v>
      </c>
      <c r="L707" s="2"/>
      <c r="M707" s="37">
        <f>SUM(F707:L707)</f>
        <v>5213467050</v>
      </c>
      <c r="N707" s="3"/>
      <c r="O707" s="2"/>
      <c r="P707" s="3"/>
      <c r="Q707" s="2">
        <f>4121189038+68801944</f>
        <v>4189990982</v>
      </c>
      <c r="R707" s="3">
        <v>272692940</v>
      </c>
      <c r="S707" s="3">
        <f>276775118+272692940</f>
        <v>549468058</v>
      </c>
      <c r="T707" s="2"/>
      <c r="U707" s="8">
        <f t="shared" ref="U707:U770" si="91">SUM(M707:T707)</f>
        <v>10225619030</v>
      </c>
      <c r="V707" s="8"/>
      <c r="W707" s="8"/>
      <c r="X707" s="8"/>
      <c r="Y707" s="8">
        <v>5118321421</v>
      </c>
      <c r="Z707" s="8">
        <v>263425771</v>
      </c>
      <c r="AA707" s="8">
        <v>598032086</v>
      </c>
      <c r="AB707" s="8"/>
      <c r="AC707" s="8">
        <f t="shared" si="83"/>
        <v>16205398308</v>
      </c>
      <c r="AD707" s="8"/>
      <c r="AE707" s="8"/>
      <c r="AF707" s="8"/>
      <c r="AG707" s="8"/>
      <c r="AH707" s="8">
        <v>4041589273</v>
      </c>
      <c r="AI707" s="8">
        <v>648184338</v>
      </c>
      <c r="AJ707" s="8">
        <v>278699847</v>
      </c>
      <c r="AK707" s="8">
        <v>702298659</v>
      </c>
      <c r="AL707" s="8"/>
      <c r="AM707" s="8">
        <v>1912126684</v>
      </c>
      <c r="AN707" s="8">
        <f>SUBTOTAL(9,AC707:AM707)</f>
        <v>23788297109</v>
      </c>
      <c r="AO707" s="8"/>
      <c r="AP707" s="8"/>
      <c r="AQ707" s="8">
        <v>658805480</v>
      </c>
      <c r="AR707" s="8"/>
      <c r="AS707" s="8"/>
      <c r="AT707" s="8">
        <v>4041589273</v>
      </c>
      <c r="AU707" s="8"/>
      <c r="AV707" s="8">
        <v>278699847</v>
      </c>
      <c r="AW707" s="8">
        <v>475681927</v>
      </c>
      <c r="AX707" s="8"/>
      <c r="AY707" s="8"/>
      <c r="AZ707" s="8"/>
      <c r="BA707" s="8"/>
      <c r="BB707" s="8"/>
      <c r="BC707" s="8">
        <f t="shared" si="84"/>
        <v>29243073636</v>
      </c>
      <c r="BD707" s="4">
        <v>27330946952</v>
      </c>
      <c r="BE707" s="4">
        <f t="shared" si="85"/>
        <v>1912126684</v>
      </c>
      <c r="BF707" s="30">
        <f t="shared" si="86"/>
        <v>29243073636</v>
      </c>
      <c r="BG707" s="18">
        <f t="shared" si="87"/>
        <v>0</v>
      </c>
      <c r="BH707" s="23"/>
      <c r="BI707" s="23"/>
      <c r="BJ707" s="23"/>
    </row>
    <row r="708" spans="1:66" ht="15" customHeight="1" x14ac:dyDescent="0.2">
      <c r="A708" s="1">
        <v>8001001364</v>
      </c>
      <c r="B708" s="1">
        <v>800100136</v>
      </c>
      <c r="C708" s="15">
        <v>214773547</v>
      </c>
      <c r="D708" s="16" t="s">
        <v>2233</v>
      </c>
      <c r="E708" s="41" t="s">
        <v>1958</v>
      </c>
      <c r="F708" s="28"/>
      <c r="G708" s="2"/>
      <c r="H708" s="3"/>
      <c r="I708" s="2"/>
      <c r="J708" s="29"/>
      <c r="K708" s="3"/>
      <c r="L708" s="2"/>
      <c r="M708" s="8"/>
      <c r="N708" s="3"/>
      <c r="O708" s="2"/>
      <c r="P708" s="3"/>
      <c r="Q708" s="2"/>
      <c r="R708" s="3"/>
      <c r="S708" s="3"/>
      <c r="T708" s="2"/>
      <c r="U708" s="8">
        <f t="shared" si="91"/>
        <v>0</v>
      </c>
      <c r="V708" s="8"/>
      <c r="W708" s="8"/>
      <c r="X708" s="8"/>
      <c r="Y708" s="8"/>
      <c r="Z708" s="8"/>
      <c r="AA708" s="8"/>
      <c r="AB708" s="8"/>
      <c r="AC708" s="8">
        <f t="shared" ref="AC708:AC771" si="92">SUM(U708:AB708)</f>
        <v>0</v>
      </c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>
        <v>34771855</v>
      </c>
      <c r="AZ708" s="8"/>
      <c r="BA708" s="8">
        <f>VLOOKUP(B708,[1]Hoja3!J$3:K$674,2,0)</f>
        <v>89724767</v>
      </c>
      <c r="BB708" s="8"/>
      <c r="BC708" s="8">
        <f t="shared" ref="BC708:BC771" si="93">SUM(AN708:BA708)-BB708</f>
        <v>124496622</v>
      </c>
      <c r="BD708" s="4">
        <v>34771855</v>
      </c>
      <c r="BE708" s="4">
        <f t="shared" ref="BE708:BE771" si="94">+AM708+BA708-BB708</f>
        <v>89724767</v>
      </c>
      <c r="BF708" s="30">
        <f t="shared" ref="BF708:BF771" si="95">+BD708+BE708</f>
        <v>124496622</v>
      </c>
      <c r="BG708" s="18">
        <f t="shared" ref="BG708:BG771" si="96">+BC708-BF708</f>
        <v>0</v>
      </c>
      <c r="BH708" s="23"/>
      <c r="BI708" s="23"/>
      <c r="BJ708" s="23"/>
    </row>
    <row r="709" spans="1:66" ht="15" customHeight="1" x14ac:dyDescent="0.2">
      <c r="A709" s="1">
        <v>8915008566</v>
      </c>
      <c r="B709" s="1">
        <v>891500856</v>
      </c>
      <c r="C709" s="15">
        <v>214819548</v>
      </c>
      <c r="D709" s="16" t="s">
        <v>398</v>
      </c>
      <c r="E709" s="41" t="s">
        <v>1427</v>
      </c>
      <c r="F709" s="28"/>
      <c r="G709" s="2"/>
      <c r="H709" s="3"/>
      <c r="I709" s="2"/>
      <c r="J709" s="29"/>
      <c r="K709" s="3"/>
      <c r="L709" s="2"/>
      <c r="M709" s="8"/>
      <c r="N709" s="3"/>
      <c r="O709" s="2"/>
      <c r="P709" s="3"/>
      <c r="Q709" s="2"/>
      <c r="R709" s="3"/>
      <c r="S709" s="3"/>
      <c r="T709" s="2"/>
      <c r="U709" s="8">
        <f t="shared" si="91"/>
        <v>0</v>
      </c>
      <c r="V709" s="8"/>
      <c r="W709" s="8"/>
      <c r="X709" s="8"/>
      <c r="Y709" s="8"/>
      <c r="Z709" s="8"/>
      <c r="AA709" s="8"/>
      <c r="AB709" s="8"/>
      <c r="AC709" s="8">
        <f t="shared" si="92"/>
        <v>0</v>
      </c>
      <c r="AD709" s="8"/>
      <c r="AE709" s="8"/>
      <c r="AF709" s="8"/>
      <c r="AG709" s="8"/>
      <c r="AH709" s="8"/>
      <c r="AI709" s="8"/>
      <c r="AJ709" s="8"/>
      <c r="AK709" s="8"/>
      <c r="AL709" s="8"/>
      <c r="AM709" s="8">
        <v>58848847</v>
      </c>
      <c r="AN709" s="8">
        <f>SUBTOTAL(9,AC709:AM709)</f>
        <v>58848847</v>
      </c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>
        <f>VLOOKUP(B709,[1]Hoja3!J$3:K$674,2,0)</f>
        <v>502115636</v>
      </c>
      <c r="BB709" s="8"/>
      <c r="BC709" s="8">
        <f t="shared" si="93"/>
        <v>560964483</v>
      </c>
      <c r="BD709" s="4"/>
      <c r="BE709" s="4">
        <f t="shared" si="94"/>
        <v>560964483</v>
      </c>
      <c r="BF709" s="30">
        <f t="shared" si="95"/>
        <v>560964483</v>
      </c>
      <c r="BG709" s="18">
        <f t="shared" si="96"/>
        <v>0</v>
      </c>
      <c r="BH709" s="23"/>
      <c r="BI709" s="23"/>
      <c r="BJ709" s="23"/>
    </row>
    <row r="710" spans="1:66" ht="15" customHeight="1" x14ac:dyDescent="0.2">
      <c r="A710" s="1">
        <v>8900011819</v>
      </c>
      <c r="B710" s="1">
        <v>890001181</v>
      </c>
      <c r="C710" s="15">
        <v>214863548</v>
      </c>
      <c r="D710" s="16" t="s">
        <v>797</v>
      </c>
      <c r="E710" s="41" t="s">
        <v>1815</v>
      </c>
      <c r="F710" s="28"/>
      <c r="G710" s="2"/>
      <c r="H710" s="3"/>
      <c r="I710" s="2"/>
      <c r="J710" s="29"/>
      <c r="K710" s="3"/>
      <c r="L710" s="2"/>
      <c r="M710" s="8"/>
      <c r="N710" s="3"/>
      <c r="O710" s="2"/>
      <c r="P710" s="3"/>
      <c r="Q710" s="2"/>
      <c r="R710" s="3"/>
      <c r="S710" s="3"/>
      <c r="T710" s="2"/>
      <c r="U710" s="8">
        <f t="shared" si="91"/>
        <v>0</v>
      </c>
      <c r="V710" s="8"/>
      <c r="W710" s="8"/>
      <c r="X710" s="8"/>
      <c r="Y710" s="8"/>
      <c r="Z710" s="8"/>
      <c r="AA710" s="8"/>
      <c r="AB710" s="8"/>
      <c r="AC710" s="8">
        <f t="shared" si="92"/>
        <v>0</v>
      </c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>
        <v>76737745</v>
      </c>
      <c r="AZ710" s="8"/>
      <c r="BA710" s="8">
        <f>VLOOKUP(B710,[1]Hoja3!J$3:K$674,2,0)</f>
        <v>82792528</v>
      </c>
      <c r="BB710" s="8"/>
      <c r="BC710" s="8">
        <f t="shared" si="93"/>
        <v>159530273</v>
      </c>
      <c r="BD710" s="4">
        <v>76737745</v>
      </c>
      <c r="BE710" s="4">
        <f t="shared" si="94"/>
        <v>82792528</v>
      </c>
      <c r="BF710" s="30">
        <f t="shared" si="95"/>
        <v>159530273</v>
      </c>
      <c r="BG710" s="18">
        <f t="shared" si="96"/>
        <v>0</v>
      </c>
      <c r="BH710" s="23"/>
      <c r="BI710" s="23"/>
      <c r="BJ710" s="23"/>
    </row>
    <row r="711" spans="1:66" ht="15" customHeight="1" x14ac:dyDescent="0.2">
      <c r="A711" s="1">
        <v>8190009850</v>
      </c>
      <c r="B711" s="1">
        <v>819000985</v>
      </c>
      <c r="C711" s="15">
        <v>214547545</v>
      </c>
      <c r="D711" s="16" t="s">
        <v>2127</v>
      </c>
      <c r="E711" s="41" t="s">
        <v>1672</v>
      </c>
      <c r="F711" s="28"/>
      <c r="G711" s="2"/>
      <c r="H711" s="3"/>
      <c r="I711" s="2"/>
      <c r="J711" s="29"/>
      <c r="K711" s="3"/>
      <c r="L711" s="2"/>
      <c r="M711" s="8"/>
      <c r="N711" s="3"/>
      <c r="O711" s="2"/>
      <c r="P711" s="3"/>
      <c r="Q711" s="2"/>
      <c r="R711" s="3"/>
      <c r="S711" s="3"/>
      <c r="T711" s="2"/>
      <c r="U711" s="8">
        <f t="shared" si="91"/>
        <v>0</v>
      </c>
      <c r="V711" s="8"/>
      <c r="W711" s="8"/>
      <c r="X711" s="8"/>
      <c r="Y711" s="8"/>
      <c r="Z711" s="8"/>
      <c r="AA711" s="8"/>
      <c r="AB711" s="8"/>
      <c r="AC711" s="8">
        <f t="shared" si="92"/>
        <v>0</v>
      </c>
      <c r="AD711" s="8"/>
      <c r="AE711" s="8"/>
      <c r="AF711" s="8"/>
      <c r="AG711" s="8"/>
      <c r="AH711" s="8"/>
      <c r="AI711" s="8"/>
      <c r="AJ711" s="8"/>
      <c r="AK711" s="8"/>
      <c r="AL711" s="8"/>
      <c r="AM711" s="8">
        <v>54852280</v>
      </c>
      <c r="AN711" s="8">
        <f>SUBTOTAL(9,AC711:AM711)</f>
        <v>54852280</v>
      </c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>
        <v>227045125</v>
      </c>
      <c r="AZ711" s="8"/>
      <c r="BA711" s="8">
        <f>VLOOKUP(B711,[1]Hoja3!J$3:K$674,2,0)</f>
        <v>263940829</v>
      </c>
      <c r="BB711" s="8"/>
      <c r="BC711" s="8">
        <f t="shared" si="93"/>
        <v>545838234</v>
      </c>
      <c r="BD711" s="4">
        <v>227045125</v>
      </c>
      <c r="BE711" s="4">
        <f t="shared" si="94"/>
        <v>318793109</v>
      </c>
      <c r="BF711" s="30">
        <f t="shared" si="95"/>
        <v>545838234</v>
      </c>
      <c r="BG711" s="18">
        <f t="shared" si="96"/>
        <v>0</v>
      </c>
      <c r="BH711" s="23"/>
      <c r="BI711" s="23"/>
      <c r="BJ711" s="23"/>
    </row>
    <row r="712" spans="1:66" ht="15" customHeight="1" x14ac:dyDescent="0.2">
      <c r="A712" s="1">
        <v>8902042650</v>
      </c>
      <c r="B712" s="1">
        <v>890204265</v>
      </c>
      <c r="C712" s="15">
        <v>214968549</v>
      </c>
      <c r="D712" s="16" t="s">
        <v>867</v>
      </c>
      <c r="E712" s="41" t="s">
        <v>1880</v>
      </c>
      <c r="F712" s="28"/>
      <c r="G712" s="2"/>
      <c r="H712" s="3"/>
      <c r="I712" s="2"/>
      <c r="J712" s="29"/>
      <c r="K712" s="3"/>
      <c r="L712" s="2"/>
      <c r="M712" s="8"/>
      <c r="N712" s="3"/>
      <c r="O712" s="2"/>
      <c r="P712" s="3"/>
      <c r="Q712" s="2"/>
      <c r="R712" s="3"/>
      <c r="S712" s="3"/>
      <c r="T712" s="2"/>
      <c r="U712" s="8">
        <f t="shared" si="91"/>
        <v>0</v>
      </c>
      <c r="V712" s="8"/>
      <c r="W712" s="8"/>
      <c r="X712" s="8"/>
      <c r="Y712" s="8"/>
      <c r="Z712" s="8"/>
      <c r="AA712" s="8"/>
      <c r="AB712" s="8"/>
      <c r="AC712" s="8">
        <f t="shared" si="92"/>
        <v>0</v>
      </c>
      <c r="AD712" s="8"/>
      <c r="AE712" s="8"/>
      <c r="AF712" s="8"/>
      <c r="AG712" s="8"/>
      <c r="AH712" s="8"/>
      <c r="AI712" s="8"/>
      <c r="AJ712" s="8"/>
      <c r="AK712" s="8"/>
      <c r="AL712" s="8"/>
      <c r="AM712" s="8">
        <v>53751077</v>
      </c>
      <c r="AN712" s="8">
        <f>SUBTOTAL(9,AC712:AM712)</f>
        <v>53751077</v>
      </c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>
        <v>24676270</v>
      </c>
      <c r="AZ712" s="8"/>
      <c r="BA712" s="8"/>
      <c r="BB712" s="8"/>
      <c r="BC712" s="8">
        <f t="shared" si="93"/>
        <v>78427347</v>
      </c>
      <c r="BD712" s="4">
        <v>24676270</v>
      </c>
      <c r="BE712" s="4">
        <f t="shared" si="94"/>
        <v>53751077</v>
      </c>
      <c r="BF712" s="30">
        <f t="shared" si="95"/>
        <v>78427347</v>
      </c>
      <c r="BG712" s="18">
        <f t="shared" si="96"/>
        <v>0</v>
      </c>
      <c r="BH712" s="23"/>
      <c r="BI712" s="23"/>
      <c r="BJ712" s="23"/>
    </row>
    <row r="713" spans="1:66" ht="15" customHeight="1" x14ac:dyDescent="0.2">
      <c r="A713" s="1">
        <v>8000429740</v>
      </c>
      <c r="B713" s="1">
        <v>800042974</v>
      </c>
      <c r="C713" s="15">
        <v>214913549</v>
      </c>
      <c r="D713" s="16" t="s">
        <v>200</v>
      </c>
      <c r="E713" s="41" t="s">
        <v>1231</v>
      </c>
      <c r="F713" s="28"/>
      <c r="G713" s="17"/>
      <c r="H713" s="3"/>
      <c r="I713" s="2"/>
      <c r="J713" s="29"/>
      <c r="K713" s="3"/>
      <c r="L713" s="17"/>
      <c r="M713" s="34"/>
      <c r="N713" s="3"/>
      <c r="O713" s="17"/>
      <c r="P713" s="3"/>
      <c r="Q713" s="2"/>
      <c r="R713" s="3"/>
      <c r="S713" s="3"/>
      <c r="T713" s="17"/>
      <c r="U713" s="8">
        <f t="shared" si="91"/>
        <v>0</v>
      </c>
      <c r="V713" s="8"/>
      <c r="W713" s="8"/>
      <c r="X713" s="8"/>
      <c r="Y713" s="8"/>
      <c r="Z713" s="8"/>
      <c r="AA713" s="8"/>
      <c r="AB713" s="8"/>
      <c r="AC713" s="8">
        <f t="shared" si="92"/>
        <v>0</v>
      </c>
      <c r="AD713" s="8"/>
      <c r="AE713" s="8"/>
      <c r="AF713" s="8"/>
      <c r="AG713" s="8"/>
      <c r="AH713" s="8"/>
      <c r="AI713" s="8"/>
      <c r="AJ713" s="8"/>
      <c r="AK713" s="8"/>
      <c r="AL713" s="8"/>
      <c r="AM713" s="8">
        <v>160402669</v>
      </c>
      <c r="AN713" s="8">
        <f>SUBTOTAL(9,AC713:AM713)</f>
        <v>160402669</v>
      </c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>
        <f>VLOOKUP(B713,[1]Hoja3!J$3:K$674,2,0)</f>
        <v>349173651</v>
      </c>
      <c r="BB713" s="8"/>
      <c r="BC713" s="8">
        <f t="shared" si="93"/>
        <v>509576320</v>
      </c>
      <c r="BD713" s="4"/>
      <c r="BE713" s="4">
        <f t="shared" si="94"/>
        <v>509576320</v>
      </c>
      <c r="BF713" s="30">
        <f t="shared" si="95"/>
        <v>509576320</v>
      </c>
      <c r="BG713" s="18">
        <f t="shared" si="96"/>
        <v>0</v>
      </c>
      <c r="BH713" s="23"/>
      <c r="BI713" s="14"/>
      <c r="BJ713" s="14"/>
      <c r="BK713" s="14"/>
      <c r="BL713" s="14"/>
      <c r="BM713" s="14"/>
      <c r="BN713" s="14"/>
    </row>
    <row r="714" spans="1:66" ht="15" customHeight="1" x14ac:dyDescent="0.2">
      <c r="A714" s="1">
        <v>8000944577</v>
      </c>
      <c r="B714" s="1">
        <v>800094457</v>
      </c>
      <c r="C714" s="15">
        <v>214908549</v>
      </c>
      <c r="D714" s="16" t="s">
        <v>169</v>
      </c>
      <c r="E714" s="41" t="s">
        <v>1198</v>
      </c>
      <c r="F714" s="28"/>
      <c r="G714" s="2"/>
      <c r="H714" s="3"/>
      <c r="I714" s="2"/>
      <c r="J714" s="29"/>
      <c r="K714" s="3"/>
      <c r="L714" s="2"/>
      <c r="M714" s="8"/>
      <c r="N714" s="3"/>
      <c r="O714" s="2"/>
      <c r="P714" s="3"/>
      <c r="Q714" s="2"/>
      <c r="R714" s="3"/>
      <c r="S714" s="3"/>
      <c r="T714" s="2"/>
      <c r="U714" s="8">
        <f t="shared" si="91"/>
        <v>0</v>
      </c>
      <c r="V714" s="8"/>
      <c r="W714" s="8"/>
      <c r="X714" s="8"/>
      <c r="Y714" s="8"/>
      <c r="Z714" s="8"/>
      <c r="AA714" s="8"/>
      <c r="AB714" s="8"/>
      <c r="AC714" s="8">
        <f t="shared" si="92"/>
        <v>0</v>
      </c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>
        <f>VLOOKUP(B714,[1]Hoja3!J$3:K$674,2,0)</f>
        <v>82360595</v>
      </c>
      <c r="BB714" s="8"/>
      <c r="BC714" s="8">
        <f t="shared" si="93"/>
        <v>82360595</v>
      </c>
      <c r="BD714" s="4"/>
      <c r="BE714" s="4">
        <f t="shared" si="94"/>
        <v>82360595</v>
      </c>
      <c r="BF714" s="30">
        <f t="shared" si="95"/>
        <v>82360595</v>
      </c>
      <c r="BG714" s="18">
        <f t="shared" si="96"/>
        <v>0</v>
      </c>
      <c r="BH714" s="23"/>
      <c r="BI714" s="23"/>
      <c r="BJ714" s="23"/>
    </row>
    <row r="715" spans="1:66" ht="15" customHeight="1" x14ac:dyDescent="0.2">
      <c r="A715" s="1">
        <v>8000663895</v>
      </c>
      <c r="B715" s="1">
        <v>800066389</v>
      </c>
      <c r="C715" s="15">
        <v>215015550</v>
      </c>
      <c r="D715" s="16" t="s">
        <v>287</v>
      </c>
      <c r="E715" s="41" t="s">
        <v>1319</v>
      </c>
      <c r="F715" s="28"/>
      <c r="G715" s="17"/>
      <c r="H715" s="3"/>
      <c r="I715" s="2"/>
      <c r="J715" s="29"/>
      <c r="K715" s="3"/>
      <c r="L715" s="17"/>
      <c r="M715" s="34"/>
      <c r="N715" s="3"/>
      <c r="O715" s="17"/>
      <c r="P715" s="3"/>
      <c r="Q715" s="2"/>
      <c r="R715" s="3"/>
      <c r="S715" s="3"/>
      <c r="T715" s="17"/>
      <c r="U715" s="8">
        <f t="shared" si="91"/>
        <v>0</v>
      </c>
      <c r="V715" s="8"/>
      <c r="W715" s="8"/>
      <c r="X715" s="8"/>
      <c r="Y715" s="8"/>
      <c r="Z715" s="8"/>
      <c r="AA715" s="8"/>
      <c r="AB715" s="8"/>
      <c r="AC715" s="8">
        <f t="shared" si="92"/>
        <v>0</v>
      </c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>
        <f>VLOOKUP(B715,[1]Hoja3!J$3:K$674,2,0)</f>
        <v>23194870</v>
      </c>
      <c r="BB715" s="8"/>
      <c r="BC715" s="8">
        <f t="shared" si="93"/>
        <v>23194870</v>
      </c>
      <c r="BD715" s="4"/>
      <c r="BE715" s="4">
        <f t="shared" si="94"/>
        <v>23194870</v>
      </c>
      <c r="BF715" s="30">
        <f t="shared" si="95"/>
        <v>23194870</v>
      </c>
      <c r="BG715" s="18">
        <f t="shared" si="96"/>
        <v>0</v>
      </c>
      <c r="BH715" s="23"/>
      <c r="BI715" s="14"/>
      <c r="BJ715" s="14"/>
      <c r="BK715" s="14"/>
      <c r="BL715" s="14"/>
      <c r="BM715" s="14"/>
      <c r="BN715" s="14"/>
    </row>
    <row r="716" spans="1:66" ht="15" customHeight="1" x14ac:dyDescent="0.2">
      <c r="A716" s="1">
        <v>8911801990</v>
      </c>
      <c r="B716" s="1">
        <v>891180199</v>
      </c>
      <c r="C716" s="15">
        <v>214841548</v>
      </c>
      <c r="D716" s="16" t="s">
        <v>615</v>
      </c>
      <c r="E716" s="41" t="s">
        <v>1635</v>
      </c>
      <c r="F716" s="28"/>
      <c r="G716" s="2"/>
      <c r="H716" s="3"/>
      <c r="I716" s="2"/>
      <c r="J716" s="29"/>
      <c r="K716" s="3"/>
      <c r="L716" s="2"/>
      <c r="M716" s="8"/>
      <c r="N716" s="3"/>
      <c r="O716" s="2"/>
      <c r="P716" s="3"/>
      <c r="Q716" s="2"/>
      <c r="R716" s="3"/>
      <c r="S716" s="3"/>
      <c r="T716" s="2"/>
      <c r="U716" s="8">
        <f t="shared" si="91"/>
        <v>0</v>
      </c>
      <c r="V716" s="8"/>
      <c r="W716" s="8"/>
      <c r="X716" s="8"/>
      <c r="Y716" s="8"/>
      <c r="Z716" s="8"/>
      <c r="AA716" s="8"/>
      <c r="AB716" s="8"/>
      <c r="AC716" s="8">
        <f t="shared" si="92"/>
        <v>0</v>
      </c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>
        <v>106046070</v>
      </c>
      <c r="AZ716" s="8"/>
      <c r="BA716" s="8">
        <f>VLOOKUP(B716,[1]Hoja3!J$3:K$674,2,0)</f>
        <v>237991190</v>
      </c>
      <c r="BB716" s="8"/>
      <c r="BC716" s="8">
        <f t="shared" si="93"/>
        <v>344037260</v>
      </c>
      <c r="BD716" s="4">
        <v>106046070</v>
      </c>
      <c r="BE716" s="4">
        <f t="shared" si="94"/>
        <v>237991190</v>
      </c>
      <c r="BF716" s="30">
        <f t="shared" si="95"/>
        <v>344037260</v>
      </c>
      <c r="BG716" s="18">
        <f t="shared" si="96"/>
        <v>0</v>
      </c>
      <c r="BH716" s="23"/>
      <c r="BI716" s="23"/>
      <c r="BJ716" s="23"/>
    </row>
    <row r="717" spans="1:66" ht="15" customHeight="1" x14ac:dyDescent="0.2">
      <c r="A717" s="1">
        <v>8911800770</v>
      </c>
      <c r="B717" s="1">
        <v>891180077</v>
      </c>
      <c r="C717" s="15">
        <v>215141551</v>
      </c>
      <c r="D717" s="16" t="s">
        <v>616</v>
      </c>
      <c r="E717" s="53" t="s">
        <v>1636</v>
      </c>
      <c r="F717" s="28"/>
      <c r="G717" s="2"/>
      <c r="H717" s="3"/>
      <c r="I717" s="39">
        <f>3611108562+44394334</f>
        <v>3655502896</v>
      </c>
      <c r="J717" s="29">
        <v>263963908</v>
      </c>
      <c r="K717" s="3">
        <v>528974036</v>
      </c>
      <c r="L717" s="2"/>
      <c r="M717" s="37">
        <f>SUM(F717:L717)</f>
        <v>4448440840</v>
      </c>
      <c r="N717" s="3"/>
      <c r="O717" s="2"/>
      <c r="P717" s="3"/>
      <c r="Q717" s="2">
        <f>3501171083+207000000</f>
        <v>3708171083</v>
      </c>
      <c r="R717" s="3">
        <v>264656779</v>
      </c>
      <c r="S717" s="3">
        <f>265010128+264656779</f>
        <v>529666907</v>
      </c>
      <c r="T717" s="2"/>
      <c r="U717" s="8">
        <f t="shared" si="91"/>
        <v>8950935609</v>
      </c>
      <c r="V717" s="8"/>
      <c r="W717" s="8"/>
      <c r="X717" s="8"/>
      <c r="Y717" s="8">
        <v>5641907205</v>
      </c>
      <c r="Z717" s="8">
        <v>261193406</v>
      </c>
      <c r="AA717" s="8">
        <v>596337080</v>
      </c>
      <c r="AB717" s="8"/>
      <c r="AC717" s="8">
        <f t="shared" si="92"/>
        <v>15450373300</v>
      </c>
      <c r="AD717" s="8"/>
      <c r="AE717" s="8"/>
      <c r="AF717" s="8"/>
      <c r="AG717" s="8"/>
      <c r="AH717" s="8">
        <v>3723630729</v>
      </c>
      <c r="AI717" s="8">
        <v>360439441</v>
      </c>
      <c r="AJ717" s="8">
        <v>272073093</v>
      </c>
      <c r="AK717" s="8">
        <v>686198640</v>
      </c>
      <c r="AL717" s="8"/>
      <c r="AM717" s="8">
        <v>2018062343</v>
      </c>
      <c r="AN717" s="8">
        <f>SUBTOTAL(9,AC717:AM717)</f>
        <v>22510777546</v>
      </c>
      <c r="AO717" s="8"/>
      <c r="AP717" s="8"/>
      <c r="AQ717" s="8">
        <v>761832800</v>
      </c>
      <c r="AR717" s="8"/>
      <c r="AS717" s="8"/>
      <c r="AT717" s="8">
        <v>3723630729</v>
      </c>
      <c r="AU717" s="8"/>
      <c r="AV717" s="8">
        <v>272073093</v>
      </c>
      <c r="AW717" s="8">
        <v>464893600</v>
      </c>
      <c r="AX717" s="8"/>
      <c r="AY717" s="8"/>
      <c r="AZ717" s="8"/>
      <c r="BA717" s="8"/>
      <c r="BB717" s="8"/>
      <c r="BC717" s="8">
        <f t="shared" si="93"/>
        <v>27733207768</v>
      </c>
      <c r="BD717" s="4">
        <v>25715145425</v>
      </c>
      <c r="BE717" s="4">
        <f t="shared" si="94"/>
        <v>2018062343</v>
      </c>
      <c r="BF717" s="30">
        <f t="shared" si="95"/>
        <v>27733207768</v>
      </c>
      <c r="BG717" s="18">
        <f t="shared" si="96"/>
        <v>0</v>
      </c>
      <c r="BH717" s="23"/>
      <c r="BI717" s="23"/>
      <c r="BJ717" s="23"/>
    </row>
    <row r="718" spans="1:66" ht="15" customHeight="1" x14ac:dyDescent="0.2">
      <c r="A718" s="1">
        <v>8917800507</v>
      </c>
      <c r="B718" s="1">
        <v>891780050</v>
      </c>
      <c r="C718" s="15">
        <v>215147551</v>
      </c>
      <c r="D718" s="16" t="s">
        <v>652</v>
      </c>
      <c r="E718" s="41" t="s">
        <v>1673</v>
      </c>
      <c r="F718" s="28"/>
      <c r="G718" s="2"/>
      <c r="H718" s="3"/>
      <c r="I718" s="2"/>
      <c r="J718" s="29"/>
      <c r="K718" s="3"/>
      <c r="L718" s="2"/>
      <c r="M718" s="8"/>
      <c r="N718" s="3"/>
      <c r="O718" s="2"/>
      <c r="P718" s="3"/>
      <c r="Q718" s="2"/>
      <c r="R718" s="3"/>
      <c r="S718" s="3"/>
      <c r="T718" s="2"/>
      <c r="U718" s="8">
        <f t="shared" si="91"/>
        <v>0</v>
      </c>
      <c r="V718" s="8"/>
      <c r="W718" s="8"/>
      <c r="X718" s="8"/>
      <c r="Y718" s="8"/>
      <c r="Z718" s="8"/>
      <c r="AA718" s="8"/>
      <c r="AB718" s="8"/>
      <c r="AC718" s="8">
        <f t="shared" si="92"/>
        <v>0</v>
      </c>
      <c r="AD718" s="8"/>
      <c r="AE718" s="8"/>
      <c r="AF718" s="8"/>
      <c r="AG718" s="8"/>
      <c r="AH718" s="8"/>
      <c r="AI718" s="8"/>
      <c r="AJ718" s="8"/>
      <c r="AK718" s="8"/>
      <c r="AL718" s="8"/>
      <c r="AM718" s="8">
        <v>621731963</v>
      </c>
      <c r="AN718" s="8">
        <f>SUBTOTAL(9,AC718:AM718)</f>
        <v>621731963</v>
      </c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>
        <v>355027800</v>
      </c>
      <c r="AZ718" s="8"/>
      <c r="BA718" s="8">
        <f>VLOOKUP(B718,[1]Hoja3!J$3:K$674,2,0)</f>
        <v>120746543</v>
      </c>
      <c r="BB718" s="8"/>
      <c r="BC718" s="8">
        <f t="shared" si="93"/>
        <v>1097506306</v>
      </c>
      <c r="BD718" s="4">
        <v>355027800</v>
      </c>
      <c r="BE718" s="4">
        <f t="shared" si="94"/>
        <v>742478506</v>
      </c>
      <c r="BF718" s="30">
        <f t="shared" si="95"/>
        <v>1097506306</v>
      </c>
      <c r="BG718" s="18">
        <f t="shared" si="96"/>
        <v>0</v>
      </c>
      <c r="BH718" s="23"/>
      <c r="BI718" s="23"/>
      <c r="BJ718" s="23"/>
    </row>
    <row r="719" spans="1:66" ht="15" customHeight="1" x14ac:dyDescent="0.2">
      <c r="A719" s="1">
        <v>8001001371</v>
      </c>
      <c r="B719" s="1">
        <v>800100137</v>
      </c>
      <c r="C719" s="15">
        <v>215573555</v>
      </c>
      <c r="D719" s="16" t="s">
        <v>2234</v>
      </c>
      <c r="E719" s="41" t="s">
        <v>1959</v>
      </c>
      <c r="F719" s="28"/>
      <c r="G719" s="2"/>
      <c r="H719" s="3"/>
      <c r="I719" s="2"/>
      <c r="J719" s="29"/>
      <c r="K719" s="3"/>
      <c r="L719" s="2"/>
      <c r="M719" s="8"/>
      <c r="N719" s="3"/>
      <c r="O719" s="2"/>
      <c r="P719" s="3"/>
      <c r="Q719" s="2"/>
      <c r="R719" s="3"/>
      <c r="S719" s="3"/>
      <c r="T719" s="2"/>
      <c r="U719" s="8">
        <f t="shared" si="91"/>
        <v>0</v>
      </c>
      <c r="V719" s="8"/>
      <c r="W719" s="8"/>
      <c r="X719" s="8"/>
      <c r="Y719" s="8"/>
      <c r="Z719" s="8"/>
      <c r="AA719" s="8"/>
      <c r="AB719" s="8"/>
      <c r="AC719" s="8">
        <f t="shared" si="92"/>
        <v>0</v>
      </c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>
        <v>296223605</v>
      </c>
      <c r="AZ719" s="8"/>
      <c r="BA719" s="8">
        <f>VLOOKUP(B719,[1]Hoja3!J$3:K$674,2,0)</f>
        <v>535803896</v>
      </c>
      <c r="BB719" s="8"/>
      <c r="BC719" s="8">
        <f t="shared" si="93"/>
        <v>832027501</v>
      </c>
      <c r="BD719" s="4">
        <v>296223605</v>
      </c>
      <c r="BE719" s="4">
        <f t="shared" si="94"/>
        <v>535803896</v>
      </c>
      <c r="BF719" s="30">
        <f t="shared" si="95"/>
        <v>832027501</v>
      </c>
      <c r="BG719" s="18">
        <f t="shared" si="96"/>
        <v>0</v>
      </c>
      <c r="BH719" s="23"/>
      <c r="BI719" s="23"/>
      <c r="BJ719" s="23"/>
    </row>
    <row r="720" spans="1:66" ht="15" customHeight="1" x14ac:dyDescent="0.2">
      <c r="A720" s="1">
        <v>8000967651</v>
      </c>
      <c r="B720" s="1">
        <v>800096765</v>
      </c>
      <c r="C720" s="15">
        <v>215523555</v>
      </c>
      <c r="D720" s="16" t="s">
        <v>450</v>
      </c>
      <c r="E720" s="41" t="s">
        <v>1477</v>
      </c>
      <c r="F720" s="28"/>
      <c r="G720" s="2"/>
      <c r="H720" s="3"/>
      <c r="I720" s="2"/>
      <c r="J720" s="29"/>
      <c r="K720" s="3"/>
      <c r="L720" s="2"/>
      <c r="M720" s="8"/>
      <c r="N720" s="3"/>
      <c r="O720" s="2"/>
      <c r="P720" s="3"/>
      <c r="Q720" s="2"/>
      <c r="R720" s="3"/>
      <c r="S720" s="3"/>
      <c r="T720" s="2"/>
      <c r="U720" s="8">
        <f t="shared" si="91"/>
        <v>0</v>
      </c>
      <c r="V720" s="8"/>
      <c r="W720" s="8"/>
      <c r="X720" s="8"/>
      <c r="Y720" s="8"/>
      <c r="Z720" s="8"/>
      <c r="AA720" s="8"/>
      <c r="AB720" s="8"/>
      <c r="AC720" s="8">
        <f t="shared" si="92"/>
        <v>0</v>
      </c>
      <c r="AD720" s="8"/>
      <c r="AE720" s="8"/>
      <c r="AF720" s="8"/>
      <c r="AG720" s="8"/>
      <c r="AH720" s="8"/>
      <c r="AI720" s="8"/>
      <c r="AJ720" s="8"/>
      <c r="AK720" s="8"/>
      <c r="AL720" s="8"/>
      <c r="AM720" s="8">
        <v>1136793189</v>
      </c>
      <c r="AN720" s="8">
        <f t="shared" ref="AN720:AN727" si="97">SUBTOTAL(9,AC720:AM720)</f>
        <v>1136793189</v>
      </c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>
        <f t="shared" si="93"/>
        <v>1136793189</v>
      </c>
      <c r="BD720" s="4"/>
      <c r="BE720" s="4">
        <f t="shared" si="94"/>
        <v>1136793189</v>
      </c>
      <c r="BF720" s="30">
        <f t="shared" si="95"/>
        <v>1136793189</v>
      </c>
      <c r="BG720" s="18">
        <f t="shared" si="96"/>
        <v>0</v>
      </c>
      <c r="BH720" s="23"/>
      <c r="BI720" s="23"/>
      <c r="BJ720" s="23"/>
    </row>
    <row r="721" spans="1:62" ht="15" customHeight="1" x14ac:dyDescent="0.2">
      <c r="A721" s="1">
        <v>8917800514</v>
      </c>
      <c r="B721" s="1">
        <v>891780051</v>
      </c>
      <c r="C721" s="15">
        <v>215547555</v>
      </c>
      <c r="D721" s="16" t="s">
        <v>653</v>
      </c>
      <c r="E721" s="41" t="s">
        <v>1674</v>
      </c>
      <c r="F721" s="28"/>
      <c r="G721" s="2"/>
      <c r="H721" s="3"/>
      <c r="I721" s="2"/>
      <c r="J721" s="29"/>
      <c r="K721" s="3"/>
      <c r="L721" s="2"/>
      <c r="M721" s="8"/>
      <c r="N721" s="3"/>
      <c r="O721" s="2"/>
      <c r="P721" s="3"/>
      <c r="Q721" s="2"/>
      <c r="R721" s="3"/>
      <c r="S721" s="3"/>
      <c r="T721" s="2"/>
      <c r="U721" s="8">
        <f t="shared" si="91"/>
        <v>0</v>
      </c>
      <c r="V721" s="8"/>
      <c r="W721" s="8"/>
      <c r="X721" s="8"/>
      <c r="Y721" s="8"/>
      <c r="Z721" s="8"/>
      <c r="AA721" s="8"/>
      <c r="AB721" s="8"/>
      <c r="AC721" s="8">
        <f t="shared" si="92"/>
        <v>0</v>
      </c>
      <c r="AD721" s="8"/>
      <c r="AE721" s="8"/>
      <c r="AF721" s="8"/>
      <c r="AG721" s="8"/>
      <c r="AH721" s="8"/>
      <c r="AI721" s="8"/>
      <c r="AJ721" s="8"/>
      <c r="AK721" s="8"/>
      <c r="AL721" s="8"/>
      <c r="AM721" s="8">
        <v>856430061</v>
      </c>
      <c r="AN721" s="8">
        <f t="shared" si="97"/>
        <v>856430061</v>
      </c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>
        <f>VLOOKUP(B721,[1]Hoja3!J$3:K$674,2,0)</f>
        <v>302175842</v>
      </c>
      <c r="BB721" s="8">
        <f>VLOOKUP(B721,'[2]anuladas en mayo gratuidad}'!K$2:L$55,2,0)</f>
        <v>291831724</v>
      </c>
      <c r="BC721" s="8">
        <f t="shared" si="93"/>
        <v>866774179</v>
      </c>
      <c r="BD721" s="4"/>
      <c r="BE721" s="4">
        <f t="shared" si="94"/>
        <v>866774179</v>
      </c>
      <c r="BF721" s="30">
        <f t="shared" si="95"/>
        <v>866774179</v>
      </c>
      <c r="BG721" s="18">
        <f t="shared" si="96"/>
        <v>0</v>
      </c>
      <c r="BH721" s="23"/>
      <c r="BI721" s="23"/>
      <c r="BJ721" s="23"/>
    </row>
    <row r="722" spans="1:62" ht="15" customHeight="1" x14ac:dyDescent="0.2">
      <c r="A722" s="1">
        <v>8000203249</v>
      </c>
      <c r="B722" s="1">
        <v>800020324</v>
      </c>
      <c r="C722" s="15">
        <v>214052540</v>
      </c>
      <c r="D722" s="16" t="s">
        <v>731</v>
      </c>
      <c r="E722" s="41" t="s">
        <v>1754</v>
      </c>
      <c r="F722" s="28"/>
      <c r="G722" s="2"/>
      <c r="H722" s="3"/>
      <c r="I722" s="2"/>
      <c r="J722" s="29"/>
      <c r="K722" s="3"/>
      <c r="L722" s="2"/>
      <c r="M722" s="8"/>
      <c r="N722" s="3"/>
      <c r="O722" s="2"/>
      <c r="P722" s="3"/>
      <c r="Q722" s="2"/>
      <c r="R722" s="3"/>
      <c r="S722" s="3"/>
      <c r="T722" s="2"/>
      <c r="U722" s="8">
        <f t="shared" si="91"/>
        <v>0</v>
      </c>
      <c r="V722" s="8"/>
      <c r="W722" s="8"/>
      <c r="X722" s="8"/>
      <c r="Y722" s="8"/>
      <c r="Z722" s="8"/>
      <c r="AA722" s="8"/>
      <c r="AB722" s="8"/>
      <c r="AC722" s="8">
        <f t="shared" si="92"/>
        <v>0</v>
      </c>
      <c r="AD722" s="8"/>
      <c r="AE722" s="8"/>
      <c r="AF722" s="8"/>
      <c r="AG722" s="8"/>
      <c r="AH722" s="8"/>
      <c r="AI722" s="8"/>
      <c r="AJ722" s="8"/>
      <c r="AK722" s="8"/>
      <c r="AL722" s="8"/>
      <c r="AM722" s="8">
        <v>161688048</v>
      </c>
      <c r="AN722" s="8">
        <f t="shared" si="97"/>
        <v>161688048</v>
      </c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>
        <f>VLOOKUP(B722,[1]Hoja3!J$3:K$674,2,0)</f>
        <v>36864787</v>
      </c>
      <c r="BB722" s="8"/>
      <c r="BC722" s="8">
        <f t="shared" si="93"/>
        <v>198552835</v>
      </c>
      <c r="BD722" s="4"/>
      <c r="BE722" s="4">
        <f t="shared" si="94"/>
        <v>198552835</v>
      </c>
      <c r="BF722" s="30">
        <f t="shared" si="95"/>
        <v>198552835</v>
      </c>
      <c r="BG722" s="18">
        <f t="shared" si="96"/>
        <v>0</v>
      </c>
      <c r="BH722" s="23"/>
      <c r="BI722" s="23"/>
      <c r="BJ722" s="23"/>
    </row>
    <row r="723" spans="1:62" ht="15" customHeight="1" x14ac:dyDescent="0.2">
      <c r="A723" s="1">
        <v>8000767511</v>
      </c>
      <c r="B723" s="1">
        <v>800076751</v>
      </c>
      <c r="C723" s="15">
        <v>215808558</v>
      </c>
      <c r="D723" s="16" t="s">
        <v>170</v>
      </c>
      <c r="E723" s="41" t="s">
        <v>1199</v>
      </c>
      <c r="F723" s="28"/>
      <c r="G723" s="2"/>
      <c r="H723" s="3"/>
      <c r="I723" s="2"/>
      <c r="J723" s="29"/>
      <c r="K723" s="3"/>
      <c r="L723" s="2"/>
      <c r="M723" s="8"/>
      <c r="N723" s="3"/>
      <c r="O723" s="2"/>
      <c r="P723" s="3"/>
      <c r="Q723" s="2"/>
      <c r="R723" s="3"/>
      <c r="S723" s="3"/>
      <c r="T723" s="2"/>
      <c r="U723" s="8">
        <f t="shared" si="91"/>
        <v>0</v>
      </c>
      <c r="V723" s="8"/>
      <c r="W723" s="8"/>
      <c r="X723" s="8"/>
      <c r="Y723" s="8"/>
      <c r="Z723" s="8"/>
      <c r="AA723" s="8"/>
      <c r="AB723" s="8"/>
      <c r="AC723" s="8">
        <f t="shared" si="92"/>
        <v>0</v>
      </c>
      <c r="AD723" s="8"/>
      <c r="AE723" s="8"/>
      <c r="AF723" s="8"/>
      <c r="AG723" s="8"/>
      <c r="AH723" s="8"/>
      <c r="AI723" s="8"/>
      <c r="AJ723" s="8"/>
      <c r="AK723" s="8"/>
      <c r="AL723" s="8"/>
      <c r="AM723" s="8">
        <v>244937474</v>
      </c>
      <c r="AN723" s="8">
        <f t="shared" si="97"/>
        <v>244937474</v>
      </c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>
        <f t="shared" si="93"/>
        <v>244937474</v>
      </c>
      <c r="BD723" s="4"/>
      <c r="BE723" s="4">
        <f t="shared" si="94"/>
        <v>244937474</v>
      </c>
      <c r="BF723" s="30">
        <f t="shared" si="95"/>
        <v>244937474</v>
      </c>
      <c r="BG723" s="18">
        <f t="shared" si="96"/>
        <v>0</v>
      </c>
      <c r="BH723" s="23"/>
      <c r="BI723" s="23"/>
      <c r="BJ723" s="23"/>
    </row>
    <row r="724" spans="1:62" ht="15" customHeight="1" x14ac:dyDescent="0.2">
      <c r="A724" s="1">
        <v>8901162789</v>
      </c>
      <c r="B724" s="1">
        <v>890116278</v>
      </c>
      <c r="C724" s="15">
        <v>216008560</v>
      </c>
      <c r="D724" s="16" t="s">
        <v>171</v>
      </c>
      <c r="E724" s="41" t="s">
        <v>1200</v>
      </c>
      <c r="F724" s="28"/>
      <c r="G724" s="2"/>
      <c r="H724" s="3"/>
      <c r="I724" s="2"/>
      <c r="J724" s="29"/>
      <c r="K724" s="3"/>
      <c r="L724" s="2"/>
      <c r="M724" s="8"/>
      <c r="N724" s="3"/>
      <c r="O724" s="2"/>
      <c r="P724" s="3"/>
      <c r="Q724" s="2"/>
      <c r="R724" s="3"/>
      <c r="S724" s="3"/>
      <c r="T724" s="2"/>
      <c r="U724" s="8">
        <f t="shared" si="91"/>
        <v>0</v>
      </c>
      <c r="V724" s="8"/>
      <c r="W724" s="8"/>
      <c r="X724" s="8"/>
      <c r="Y724" s="8"/>
      <c r="Z724" s="8"/>
      <c r="AA724" s="8"/>
      <c r="AB724" s="8"/>
      <c r="AC724" s="8">
        <f t="shared" si="92"/>
        <v>0</v>
      </c>
      <c r="AD724" s="8"/>
      <c r="AE724" s="8"/>
      <c r="AF724" s="8"/>
      <c r="AG724" s="8"/>
      <c r="AH724" s="8"/>
      <c r="AI724" s="8"/>
      <c r="AJ724" s="8"/>
      <c r="AK724" s="8"/>
      <c r="AL724" s="8"/>
      <c r="AM724" s="8">
        <v>275175208</v>
      </c>
      <c r="AN724" s="8">
        <f t="shared" si="97"/>
        <v>275175208</v>
      </c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>
        <v>210879135</v>
      </c>
      <c r="AZ724" s="8"/>
      <c r="BA724" s="8">
        <f>VLOOKUP(B724,[1]Hoja3!J$3:K$674,2,0)</f>
        <v>131091076</v>
      </c>
      <c r="BB724" s="8"/>
      <c r="BC724" s="8">
        <f t="shared" si="93"/>
        <v>617145419</v>
      </c>
      <c r="BD724" s="4">
        <v>210879135</v>
      </c>
      <c r="BE724" s="4">
        <f t="shared" si="94"/>
        <v>406266284</v>
      </c>
      <c r="BF724" s="30">
        <f t="shared" si="95"/>
        <v>617145419</v>
      </c>
      <c r="BG724" s="18">
        <f t="shared" si="96"/>
        <v>0</v>
      </c>
      <c r="BH724" s="23"/>
      <c r="BI724" s="23"/>
      <c r="BJ724" s="23"/>
    </row>
    <row r="725" spans="1:62" ht="15" customHeight="1" x14ac:dyDescent="0.2">
      <c r="A725" s="1">
        <v>8915800064</v>
      </c>
      <c r="B725" s="1">
        <v>891580006</v>
      </c>
      <c r="C725" s="15">
        <v>210119001</v>
      </c>
      <c r="D725" s="16" t="s">
        <v>2114</v>
      </c>
      <c r="E725" s="53" t="s">
        <v>2060</v>
      </c>
      <c r="F725" s="28"/>
      <c r="G725" s="2"/>
      <c r="H725" s="3"/>
      <c r="I725" s="2">
        <f>6935596704+173482529</f>
        <v>7109079233</v>
      </c>
      <c r="J725" s="29">
        <v>445768393</v>
      </c>
      <c r="K725" s="3">
        <v>885522409</v>
      </c>
      <c r="L725" s="2"/>
      <c r="M725" s="37">
        <f>SUM(F725:L725)</f>
        <v>8440370035</v>
      </c>
      <c r="N725" s="3"/>
      <c r="O725" s="2"/>
      <c r="P725" s="3"/>
      <c r="Q725" s="2">
        <f>6583467577+78855695</f>
        <v>6662323272</v>
      </c>
      <c r="R725" s="3">
        <v>445768393</v>
      </c>
      <c r="S725" s="3">
        <f>439754016+445768393</f>
        <v>885522409</v>
      </c>
      <c r="T725" s="2"/>
      <c r="U725" s="8">
        <f t="shared" si="91"/>
        <v>16433984109</v>
      </c>
      <c r="V725" s="8"/>
      <c r="W725" s="8"/>
      <c r="X725" s="8"/>
      <c r="Y725" s="8">
        <v>12177493864</v>
      </c>
      <c r="Z725" s="8">
        <v>470519466</v>
      </c>
      <c r="AA725" s="8">
        <v>1081806356</v>
      </c>
      <c r="AB725" s="8"/>
      <c r="AC725" s="8">
        <f t="shared" si="92"/>
        <v>30163803795</v>
      </c>
      <c r="AD725" s="8"/>
      <c r="AE725" s="8"/>
      <c r="AF725" s="8"/>
      <c r="AG725" s="8"/>
      <c r="AH725" s="8">
        <v>6869465469</v>
      </c>
      <c r="AI725" s="8">
        <v>809084430</v>
      </c>
      <c r="AJ725" s="8">
        <v>460901873</v>
      </c>
      <c r="AK725" s="8">
        <v>1161743754</v>
      </c>
      <c r="AL725" s="8"/>
      <c r="AM725" s="8">
        <v>1818541554</v>
      </c>
      <c r="AN725" s="8">
        <f t="shared" si="97"/>
        <v>41283540875</v>
      </c>
      <c r="AO725" s="8"/>
      <c r="AP725" s="8"/>
      <c r="AQ725" s="8">
        <v>970312290</v>
      </c>
      <c r="AR725" s="8"/>
      <c r="AS725" s="8"/>
      <c r="AT725" s="8">
        <v>6869465469</v>
      </c>
      <c r="AU725" s="8"/>
      <c r="AV725" s="8">
        <v>460901873</v>
      </c>
      <c r="AW725" s="8">
        <v>786721478</v>
      </c>
      <c r="AX725" s="8"/>
      <c r="AY725" s="8"/>
      <c r="AZ725" s="8"/>
      <c r="BA725" s="8">
        <f>VLOOKUP(B725,[1]Hoja3!J$3:K$674,2,0)</f>
        <v>532985815</v>
      </c>
      <c r="BB725" s="8"/>
      <c r="BC725" s="8">
        <f t="shared" si="93"/>
        <v>50903927800</v>
      </c>
      <c r="BD725" s="4">
        <v>48552400431</v>
      </c>
      <c r="BE725" s="4">
        <f t="shared" si="94"/>
        <v>2351527369</v>
      </c>
      <c r="BF725" s="30">
        <f t="shared" si="95"/>
        <v>50903927800</v>
      </c>
      <c r="BG725" s="18">
        <f t="shared" si="96"/>
        <v>0</v>
      </c>
      <c r="BH725" s="23"/>
      <c r="BI725" s="23"/>
      <c r="BJ725" s="23"/>
    </row>
    <row r="726" spans="1:62" ht="15" customHeight="1" x14ac:dyDescent="0.2">
      <c r="A726" s="1">
        <v>8000994293</v>
      </c>
      <c r="B726" s="1">
        <v>800099429</v>
      </c>
      <c r="C726" s="15">
        <v>216385263</v>
      </c>
      <c r="D726" s="16" t="s">
        <v>965</v>
      </c>
      <c r="E726" s="41" t="s">
        <v>2026</v>
      </c>
      <c r="F726" s="28"/>
      <c r="G726" s="2"/>
      <c r="H726" s="3"/>
      <c r="I726" s="2"/>
      <c r="J726" s="29"/>
      <c r="K726" s="3"/>
      <c r="L726" s="2"/>
      <c r="M726" s="8"/>
      <c r="N726" s="3"/>
      <c r="O726" s="2"/>
      <c r="P726" s="3"/>
      <c r="Q726" s="2"/>
      <c r="R726" s="3"/>
      <c r="S726" s="3"/>
      <c r="T726" s="2"/>
      <c r="U726" s="8">
        <f t="shared" si="91"/>
        <v>0</v>
      </c>
      <c r="V726" s="8"/>
      <c r="W726" s="8"/>
      <c r="X726" s="8"/>
      <c r="Y726" s="8"/>
      <c r="Z726" s="8"/>
      <c r="AA726" s="8"/>
      <c r="AB726" s="8"/>
      <c r="AC726" s="8">
        <f t="shared" si="92"/>
        <v>0</v>
      </c>
      <c r="AD726" s="8"/>
      <c r="AE726" s="8"/>
      <c r="AF726" s="8"/>
      <c r="AG726" s="8"/>
      <c r="AH726" s="8"/>
      <c r="AI726" s="8"/>
      <c r="AJ726" s="8"/>
      <c r="AK726" s="8"/>
      <c r="AL726" s="8"/>
      <c r="AM726" s="8">
        <v>191142041</v>
      </c>
      <c r="AN726" s="8">
        <f t="shared" si="97"/>
        <v>191142041</v>
      </c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>
        <v>104463625</v>
      </c>
      <c r="AZ726" s="8"/>
      <c r="BA726" s="8"/>
      <c r="BB726" s="8"/>
      <c r="BC726" s="8">
        <f t="shared" si="93"/>
        <v>295605666</v>
      </c>
      <c r="BD726" s="4">
        <v>104463625</v>
      </c>
      <c r="BE726" s="4">
        <f t="shared" si="94"/>
        <v>191142041</v>
      </c>
      <c r="BF726" s="30">
        <f t="shared" si="95"/>
        <v>295605666</v>
      </c>
      <c r="BG726" s="18">
        <f t="shared" si="96"/>
        <v>0</v>
      </c>
      <c r="BH726" s="23"/>
      <c r="BI726" s="23"/>
      <c r="BJ726" s="23"/>
    </row>
    <row r="727" spans="1:62" ht="15" customHeight="1" x14ac:dyDescent="0.2">
      <c r="A727" s="1">
        <v>8000372324</v>
      </c>
      <c r="B727" s="1">
        <v>800037232</v>
      </c>
      <c r="C727" s="15">
        <v>216052560</v>
      </c>
      <c r="D727" s="16" t="s">
        <v>732</v>
      </c>
      <c r="E727" s="41" t="s">
        <v>1755</v>
      </c>
      <c r="F727" s="28"/>
      <c r="G727" s="2"/>
      <c r="H727" s="3"/>
      <c r="I727" s="2"/>
      <c r="J727" s="29"/>
      <c r="K727" s="3"/>
      <c r="L727" s="2"/>
      <c r="M727" s="8"/>
      <c r="N727" s="3"/>
      <c r="O727" s="2"/>
      <c r="P727" s="3"/>
      <c r="Q727" s="2"/>
      <c r="R727" s="3"/>
      <c r="S727" s="3"/>
      <c r="T727" s="2"/>
      <c r="U727" s="8">
        <f t="shared" si="91"/>
        <v>0</v>
      </c>
      <c r="V727" s="8"/>
      <c r="W727" s="8"/>
      <c r="X727" s="8"/>
      <c r="Y727" s="8"/>
      <c r="Z727" s="8"/>
      <c r="AA727" s="8"/>
      <c r="AB727" s="8"/>
      <c r="AC727" s="8">
        <f t="shared" si="92"/>
        <v>0</v>
      </c>
      <c r="AD727" s="8"/>
      <c r="AE727" s="8"/>
      <c r="AF727" s="8"/>
      <c r="AG727" s="8"/>
      <c r="AH727" s="8"/>
      <c r="AI727" s="8"/>
      <c r="AJ727" s="8"/>
      <c r="AK727" s="8"/>
      <c r="AL727" s="8"/>
      <c r="AM727" s="8">
        <v>169210558</v>
      </c>
      <c r="AN727" s="8">
        <f t="shared" si="97"/>
        <v>169210558</v>
      </c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>
        <v>83460680</v>
      </c>
      <c r="AZ727" s="8"/>
      <c r="BA727" s="8"/>
      <c r="BB727" s="8"/>
      <c r="BC727" s="8">
        <f t="shared" si="93"/>
        <v>252671238</v>
      </c>
      <c r="BD727" s="4">
        <v>83460680</v>
      </c>
      <c r="BE727" s="4">
        <f t="shared" si="94"/>
        <v>169210558</v>
      </c>
      <c r="BF727" s="30">
        <f t="shared" si="95"/>
        <v>252671238</v>
      </c>
      <c r="BG727" s="18">
        <f t="shared" si="96"/>
        <v>0</v>
      </c>
      <c r="BH727" s="23"/>
      <c r="BI727" s="23"/>
      <c r="BJ727" s="23"/>
    </row>
    <row r="728" spans="1:62" ht="15" customHeight="1" x14ac:dyDescent="0.2">
      <c r="A728" s="1">
        <v>8913801150</v>
      </c>
      <c r="B728" s="1">
        <v>891380115</v>
      </c>
      <c r="C728" s="15">
        <v>216376563</v>
      </c>
      <c r="D728" s="16" t="s">
        <v>934</v>
      </c>
      <c r="E728" s="41" t="s">
        <v>1995</v>
      </c>
      <c r="F728" s="28"/>
      <c r="G728" s="2"/>
      <c r="H728" s="3"/>
      <c r="I728" s="2"/>
      <c r="J728" s="29"/>
      <c r="K728" s="3"/>
      <c r="L728" s="2"/>
      <c r="M728" s="8"/>
      <c r="N728" s="3"/>
      <c r="O728" s="2"/>
      <c r="P728" s="3"/>
      <c r="Q728" s="2"/>
      <c r="R728" s="3"/>
      <c r="S728" s="3"/>
      <c r="T728" s="2"/>
      <c r="U728" s="8">
        <f t="shared" si="91"/>
        <v>0</v>
      </c>
      <c r="V728" s="8"/>
      <c r="W728" s="8"/>
      <c r="X728" s="8"/>
      <c r="Y728" s="8"/>
      <c r="Z728" s="8"/>
      <c r="AA728" s="8"/>
      <c r="AB728" s="8"/>
      <c r="AC728" s="8">
        <f t="shared" si="92"/>
        <v>0</v>
      </c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>
        <v>326737095</v>
      </c>
      <c r="AZ728" s="8"/>
      <c r="BA728" s="8">
        <f>VLOOKUP(B728,[1]Hoja3!J$3:K$674,2,0)</f>
        <v>615450100</v>
      </c>
      <c r="BB728" s="8"/>
      <c r="BC728" s="8">
        <f t="shared" si="93"/>
        <v>942187195</v>
      </c>
      <c r="BD728" s="4">
        <v>326737095</v>
      </c>
      <c r="BE728" s="4">
        <f t="shared" si="94"/>
        <v>615450100</v>
      </c>
      <c r="BF728" s="30">
        <f t="shared" si="95"/>
        <v>942187195</v>
      </c>
      <c r="BG728" s="18">
        <f t="shared" si="96"/>
        <v>0</v>
      </c>
      <c r="BH728" s="23"/>
      <c r="BI728" s="23"/>
      <c r="BJ728" s="23"/>
    </row>
    <row r="729" spans="1:62" ht="15" customHeight="1" x14ac:dyDescent="0.2">
      <c r="A729" s="1">
        <v>8907020381</v>
      </c>
      <c r="B729" s="1">
        <v>890702038</v>
      </c>
      <c r="C729" s="15">
        <v>216373563</v>
      </c>
      <c r="D729" s="16" t="s">
        <v>2235</v>
      </c>
      <c r="E729" s="41" t="s">
        <v>1960</v>
      </c>
      <c r="F729" s="28"/>
      <c r="G729" s="2"/>
      <c r="H729" s="3"/>
      <c r="I729" s="2"/>
      <c r="J729" s="29"/>
      <c r="K729" s="3"/>
      <c r="L729" s="2"/>
      <c r="M729" s="8"/>
      <c r="N729" s="3"/>
      <c r="O729" s="2"/>
      <c r="P729" s="3"/>
      <c r="Q729" s="2"/>
      <c r="R729" s="3"/>
      <c r="S729" s="3"/>
      <c r="T729" s="2"/>
      <c r="U729" s="8">
        <f t="shared" si="91"/>
        <v>0</v>
      </c>
      <c r="V729" s="8"/>
      <c r="W729" s="8"/>
      <c r="X729" s="8"/>
      <c r="Y729" s="8"/>
      <c r="Z729" s="8"/>
      <c r="AA729" s="8"/>
      <c r="AB729" s="8"/>
      <c r="AC729" s="8">
        <f t="shared" si="92"/>
        <v>0</v>
      </c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>
        <v>65726235</v>
      </c>
      <c r="AZ729" s="8"/>
      <c r="BA729" s="8">
        <f>VLOOKUP(B729,[1]Hoja3!J$3:K$674,2,0)</f>
        <v>136506266</v>
      </c>
      <c r="BB729" s="8"/>
      <c r="BC729" s="8">
        <f t="shared" si="93"/>
        <v>202232501</v>
      </c>
      <c r="BD729" s="4">
        <v>65726235</v>
      </c>
      <c r="BE729" s="4">
        <f t="shared" si="94"/>
        <v>136506266</v>
      </c>
      <c r="BF729" s="30">
        <f t="shared" si="95"/>
        <v>202232501</v>
      </c>
      <c r="BG729" s="18">
        <f t="shared" si="96"/>
        <v>0</v>
      </c>
      <c r="BH729" s="23"/>
      <c r="BI729" s="23"/>
      <c r="BJ729" s="23"/>
    </row>
    <row r="730" spans="1:62" ht="15" customHeight="1" x14ac:dyDescent="0.2">
      <c r="A730" s="1">
        <v>8001030211</v>
      </c>
      <c r="B730" s="1">
        <v>800103021</v>
      </c>
      <c r="C730" s="15">
        <v>216488564</v>
      </c>
      <c r="D730" s="16" t="s">
        <v>987</v>
      </c>
      <c r="E730" s="41" t="s">
        <v>2045</v>
      </c>
      <c r="F730" s="28"/>
      <c r="G730" s="2"/>
      <c r="H730" s="3"/>
      <c r="I730" s="2"/>
      <c r="J730" s="29"/>
      <c r="K730" s="3"/>
      <c r="L730" s="2"/>
      <c r="M730" s="8"/>
      <c r="N730" s="3"/>
      <c r="O730" s="2"/>
      <c r="P730" s="3"/>
      <c r="Q730" s="2"/>
      <c r="R730" s="3"/>
      <c r="S730" s="3"/>
      <c r="T730" s="2"/>
      <c r="U730" s="8">
        <f t="shared" si="91"/>
        <v>0</v>
      </c>
      <c r="V730" s="8"/>
      <c r="W730" s="8"/>
      <c r="X730" s="8"/>
      <c r="Y730" s="8"/>
      <c r="Z730" s="8"/>
      <c r="AA730" s="8"/>
      <c r="AB730" s="8"/>
      <c r="AC730" s="8">
        <f t="shared" si="92"/>
        <v>0</v>
      </c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>
        <v>29723990</v>
      </c>
      <c r="AZ730" s="8"/>
      <c r="BA730" s="8"/>
      <c r="BB730" s="8"/>
      <c r="BC730" s="8">
        <f t="shared" si="93"/>
        <v>29723990</v>
      </c>
      <c r="BD730" s="4">
        <v>29723990</v>
      </c>
      <c r="BE730" s="4">
        <f t="shared" si="94"/>
        <v>0</v>
      </c>
      <c r="BF730" s="30">
        <f t="shared" si="95"/>
        <v>29723990</v>
      </c>
      <c r="BG730" s="18">
        <f t="shared" si="96"/>
        <v>0</v>
      </c>
      <c r="BH730" s="23"/>
      <c r="BI730" s="23"/>
      <c r="BJ730" s="23"/>
    </row>
    <row r="731" spans="1:62" ht="15" customHeight="1" x14ac:dyDescent="0.2">
      <c r="A731" s="1">
        <v>8002224989</v>
      </c>
      <c r="B731" s="1">
        <v>800222498</v>
      </c>
      <c r="C731" s="15">
        <v>216552565</v>
      </c>
      <c r="D731" s="16" t="s">
        <v>733</v>
      </c>
      <c r="E731" s="41" t="s">
        <v>1756</v>
      </c>
      <c r="F731" s="28"/>
      <c r="G731" s="2"/>
      <c r="H731" s="3"/>
      <c r="I731" s="2"/>
      <c r="J731" s="29"/>
      <c r="K731" s="3"/>
      <c r="L731" s="2"/>
      <c r="M731" s="8"/>
      <c r="N731" s="3"/>
      <c r="O731" s="2"/>
      <c r="P731" s="3"/>
      <c r="Q731" s="2"/>
      <c r="R731" s="3"/>
      <c r="S731" s="3"/>
      <c r="T731" s="2"/>
      <c r="U731" s="8">
        <f t="shared" si="91"/>
        <v>0</v>
      </c>
      <c r="V731" s="8"/>
      <c r="W731" s="8"/>
      <c r="X731" s="8"/>
      <c r="Y731" s="8"/>
      <c r="Z731" s="8"/>
      <c r="AA731" s="8"/>
      <c r="AB731" s="8"/>
      <c r="AC731" s="8">
        <f t="shared" si="92"/>
        <v>0</v>
      </c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>
        <v>44202445</v>
      </c>
      <c r="AZ731" s="8"/>
      <c r="BA731" s="8">
        <f>VLOOKUP(B731,[1]Hoja3!J$3:K$674,2,0)</f>
        <v>68504000</v>
      </c>
      <c r="BB731" s="8"/>
      <c r="BC731" s="8">
        <f t="shared" si="93"/>
        <v>112706445</v>
      </c>
      <c r="BD731" s="4">
        <v>44202445</v>
      </c>
      <c r="BE731" s="4">
        <f t="shared" si="94"/>
        <v>68504000</v>
      </c>
      <c r="BF731" s="30">
        <f t="shared" si="95"/>
        <v>112706445</v>
      </c>
      <c r="BG731" s="18">
        <f t="shared" si="96"/>
        <v>0</v>
      </c>
      <c r="BH731" s="23"/>
      <c r="BI731" s="23"/>
      <c r="BJ731" s="23"/>
    </row>
    <row r="732" spans="1:62" ht="15" customHeight="1" x14ac:dyDescent="0.2">
      <c r="A732" s="1">
        <v>8240016241</v>
      </c>
      <c r="B732" s="1">
        <v>824001624</v>
      </c>
      <c r="C732" s="15">
        <v>217020570</v>
      </c>
      <c r="D732" s="16" t="s">
        <v>430</v>
      </c>
      <c r="E732" s="41" t="s">
        <v>1457</v>
      </c>
      <c r="F732" s="28"/>
      <c r="G732" s="2"/>
      <c r="H732" s="3"/>
      <c r="I732" s="2"/>
      <c r="J732" s="29"/>
      <c r="K732" s="3"/>
      <c r="L732" s="2"/>
      <c r="M732" s="8"/>
      <c r="N732" s="3"/>
      <c r="O732" s="2"/>
      <c r="P732" s="3"/>
      <c r="Q732" s="2"/>
      <c r="R732" s="3"/>
      <c r="S732" s="3"/>
      <c r="T732" s="2"/>
      <c r="U732" s="8">
        <f t="shared" si="91"/>
        <v>0</v>
      </c>
      <c r="V732" s="8"/>
      <c r="W732" s="8"/>
      <c r="X732" s="8"/>
      <c r="Y732" s="8"/>
      <c r="Z732" s="8"/>
      <c r="AA732" s="8"/>
      <c r="AB732" s="8"/>
      <c r="AC732" s="8">
        <f t="shared" si="92"/>
        <v>0</v>
      </c>
      <c r="AD732" s="8"/>
      <c r="AE732" s="8"/>
      <c r="AF732" s="8"/>
      <c r="AG732" s="8"/>
      <c r="AH732" s="8"/>
      <c r="AI732" s="8"/>
      <c r="AJ732" s="8"/>
      <c r="AK732" s="8"/>
      <c r="AL732" s="8"/>
      <c r="AM732" s="8">
        <v>286980087</v>
      </c>
      <c r="AN732" s="8">
        <f>SUBTOTAL(9,AC732:AM732)</f>
        <v>286980087</v>
      </c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>
        <v>373984355</v>
      </c>
      <c r="AZ732" s="8"/>
      <c r="BA732" s="8">
        <f>VLOOKUP(B732,[1]Hoja3!J$3:K$674,2,0)</f>
        <v>172717433</v>
      </c>
      <c r="BB732" s="8"/>
      <c r="BC732" s="8">
        <f t="shared" si="93"/>
        <v>833681875</v>
      </c>
      <c r="BD732" s="4">
        <v>373984355</v>
      </c>
      <c r="BE732" s="4">
        <f t="shared" si="94"/>
        <v>459697520</v>
      </c>
      <c r="BF732" s="30">
        <f t="shared" si="95"/>
        <v>833681875</v>
      </c>
      <c r="BG732" s="18">
        <f t="shared" si="96"/>
        <v>0</v>
      </c>
      <c r="BH732" s="23"/>
      <c r="BI732" s="23"/>
      <c r="BJ732" s="23"/>
    </row>
    <row r="733" spans="1:62" ht="15" customHeight="1" x14ac:dyDescent="0.2">
      <c r="A733" s="1">
        <v>8000967667</v>
      </c>
      <c r="B733" s="1">
        <v>800096766</v>
      </c>
      <c r="C733" s="15">
        <v>217023570</v>
      </c>
      <c r="D733" s="16" t="s">
        <v>451</v>
      </c>
      <c r="E733" s="41" t="s">
        <v>1478</v>
      </c>
      <c r="F733" s="28"/>
      <c r="G733" s="2"/>
      <c r="H733" s="3"/>
      <c r="I733" s="2"/>
      <c r="J733" s="29"/>
      <c r="K733" s="3"/>
      <c r="L733" s="2"/>
      <c r="M733" s="8"/>
      <c r="N733" s="3"/>
      <c r="O733" s="2"/>
      <c r="P733" s="3"/>
      <c r="Q733" s="2"/>
      <c r="R733" s="3"/>
      <c r="S733" s="3"/>
      <c r="T733" s="2"/>
      <c r="U733" s="8">
        <f t="shared" si="91"/>
        <v>0</v>
      </c>
      <c r="V733" s="8"/>
      <c r="W733" s="8"/>
      <c r="X733" s="8"/>
      <c r="Y733" s="8"/>
      <c r="Z733" s="8"/>
      <c r="AA733" s="8"/>
      <c r="AB733" s="8"/>
      <c r="AC733" s="8">
        <f t="shared" si="92"/>
        <v>0</v>
      </c>
      <c r="AD733" s="8"/>
      <c r="AE733" s="8"/>
      <c r="AF733" s="8"/>
      <c r="AG733" s="8"/>
      <c r="AH733" s="8"/>
      <c r="AI733" s="8"/>
      <c r="AJ733" s="8"/>
      <c r="AK733" s="8"/>
      <c r="AL733" s="8"/>
      <c r="AM733" s="8">
        <v>348086186</v>
      </c>
      <c r="AN733" s="8">
        <f>SUBTOTAL(9,AC733:AM733)</f>
        <v>348086186</v>
      </c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>
        <f>VLOOKUP(B733,[1]Hoja3!J$3:K$674,2,0)</f>
        <v>37941541</v>
      </c>
      <c r="BB733" s="8"/>
      <c r="BC733" s="8">
        <f t="shared" si="93"/>
        <v>386027727</v>
      </c>
      <c r="BD733" s="4"/>
      <c r="BE733" s="4">
        <f t="shared" si="94"/>
        <v>386027727</v>
      </c>
      <c r="BF733" s="30">
        <f t="shared" si="95"/>
        <v>386027727</v>
      </c>
      <c r="BG733" s="18">
        <f t="shared" si="96"/>
        <v>0</v>
      </c>
      <c r="BH733" s="23"/>
      <c r="BI733" s="23"/>
      <c r="BJ733" s="23"/>
    </row>
    <row r="734" spans="1:62" ht="15" customHeight="1" x14ac:dyDescent="0.2">
      <c r="A734" s="1">
        <v>8914800311</v>
      </c>
      <c r="B734" s="1">
        <v>891480031</v>
      </c>
      <c r="C734" s="15">
        <v>217266572</v>
      </c>
      <c r="D734" s="16" t="s">
        <v>808</v>
      </c>
      <c r="E734" s="41" t="s">
        <v>1826</v>
      </c>
      <c r="F734" s="28"/>
      <c r="G734" s="2"/>
      <c r="H734" s="3"/>
      <c r="I734" s="2"/>
      <c r="J734" s="29"/>
      <c r="K734" s="3"/>
      <c r="L734" s="2"/>
      <c r="M734" s="8"/>
      <c r="N734" s="3"/>
      <c r="O734" s="2"/>
      <c r="P734" s="3"/>
      <c r="Q734" s="2"/>
      <c r="R734" s="3"/>
      <c r="S734" s="3"/>
      <c r="T734" s="2"/>
      <c r="U734" s="8">
        <f t="shared" si="91"/>
        <v>0</v>
      </c>
      <c r="V734" s="8"/>
      <c r="W734" s="8"/>
      <c r="X734" s="8"/>
      <c r="Y734" s="8"/>
      <c r="Z734" s="8"/>
      <c r="AA734" s="8"/>
      <c r="AB734" s="8"/>
      <c r="AC734" s="8">
        <f t="shared" si="92"/>
        <v>0</v>
      </c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>
        <f>VLOOKUP(B734,[1]Hoja3!J$3:K$674,2,0)</f>
        <v>333339001</v>
      </c>
      <c r="BB734" s="8"/>
      <c r="BC734" s="8">
        <f t="shared" si="93"/>
        <v>333339001</v>
      </c>
      <c r="BD734" s="4"/>
      <c r="BE734" s="4">
        <f t="shared" si="94"/>
        <v>333339001</v>
      </c>
      <c r="BF734" s="30">
        <f t="shared" si="95"/>
        <v>333339001</v>
      </c>
      <c r="BG734" s="18">
        <f t="shared" si="96"/>
        <v>0</v>
      </c>
      <c r="BH734" s="23"/>
      <c r="BI734" s="23"/>
      <c r="BJ734" s="23"/>
    </row>
    <row r="735" spans="1:62" ht="15" customHeight="1" x14ac:dyDescent="0.2">
      <c r="A735" s="1">
        <v>8917030451</v>
      </c>
      <c r="B735" s="1">
        <v>891703045</v>
      </c>
      <c r="C735" s="15">
        <v>217047570</v>
      </c>
      <c r="D735" s="16" t="s">
        <v>654</v>
      </c>
      <c r="E735" s="41" t="s">
        <v>1675</v>
      </c>
      <c r="F735" s="28"/>
      <c r="G735" s="2"/>
      <c r="H735" s="3"/>
      <c r="I735" s="2"/>
      <c r="J735" s="29"/>
      <c r="K735" s="3"/>
      <c r="L735" s="2"/>
      <c r="M735" s="8"/>
      <c r="N735" s="3"/>
      <c r="O735" s="2"/>
      <c r="P735" s="3"/>
      <c r="Q735" s="2"/>
      <c r="R735" s="3"/>
      <c r="S735" s="3"/>
      <c r="T735" s="2"/>
      <c r="U735" s="8">
        <f t="shared" si="91"/>
        <v>0</v>
      </c>
      <c r="V735" s="8"/>
      <c r="W735" s="8"/>
      <c r="X735" s="8"/>
      <c r="Y735" s="8"/>
      <c r="Z735" s="8"/>
      <c r="AA735" s="8"/>
      <c r="AB735" s="8"/>
      <c r="AC735" s="8">
        <f t="shared" si="92"/>
        <v>0</v>
      </c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>
        <v>275389620</v>
      </c>
      <c r="AZ735" s="8"/>
      <c r="BA735" s="8">
        <f>VLOOKUP(B735,[1]Hoja3!J$3:K$674,2,0)</f>
        <v>573831709</v>
      </c>
      <c r="BB735" s="8"/>
      <c r="BC735" s="8">
        <f t="shared" si="93"/>
        <v>849221329</v>
      </c>
      <c r="BD735" s="4">
        <v>275389620</v>
      </c>
      <c r="BE735" s="4">
        <f t="shared" si="94"/>
        <v>573831709</v>
      </c>
      <c r="BF735" s="30">
        <f t="shared" si="95"/>
        <v>849221329</v>
      </c>
      <c r="BG735" s="18">
        <f t="shared" si="96"/>
        <v>0</v>
      </c>
      <c r="BH735" s="23"/>
      <c r="BI735" s="23"/>
      <c r="BJ735" s="23"/>
    </row>
    <row r="736" spans="1:62" ht="15" customHeight="1" x14ac:dyDescent="0.2">
      <c r="A736" s="1">
        <v>8909811052</v>
      </c>
      <c r="B736" s="1">
        <v>890981105</v>
      </c>
      <c r="C736" s="15">
        <v>217605576</v>
      </c>
      <c r="D736" s="16" t="s">
        <v>117</v>
      </c>
      <c r="E736" s="41" t="s">
        <v>1147</v>
      </c>
      <c r="F736" s="28"/>
      <c r="G736" s="2"/>
      <c r="H736" s="3"/>
      <c r="I736" s="2"/>
      <c r="J736" s="29"/>
      <c r="K736" s="3"/>
      <c r="L736" s="2"/>
      <c r="M736" s="8"/>
      <c r="N736" s="3"/>
      <c r="O736" s="2"/>
      <c r="P736" s="3"/>
      <c r="Q736" s="2"/>
      <c r="R736" s="3"/>
      <c r="S736" s="3"/>
      <c r="T736" s="2"/>
      <c r="U736" s="8">
        <f t="shared" si="91"/>
        <v>0</v>
      </c>
      <c r="V736" s="8"/>
      <c r="W736" s="8"/>
      <c r="X736" s="8"/>
      <c r="Y736" s="8"/>
      <c r="Z736" s="8"/>
      <c r="AA736" s="8"/>
      <c r="AB736" s="8"/>
      <c r="AC736" s="8">
        <f t="shared" si="92"/>
        <v>0</v>
      </c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>
        <f>VLOOKUP(B736,[1]Hoja3!J$3:K$674,2,0)</f>
        <v>99188885</v>
      </c>
      <c r="BB736" s="8"/>
      <c r="BC736" s="8">
        <f t="shared" si="93"/>
        <v>99188885</v>
      </c>
      <c r="BD736" s="4"/>
      <c r="BE736" s="4">
        <f t="shared" si="94"/>
        <v>99188885</v>
      </c>
      <c r="BF736" s="30">
        <f t="shared" si="95"/>
        <v>99188885</v>
      </c>
      <c r="BG736" s="18">
        <f t="shared" si="96"/>
        <v>0</v>
      </c>
      <c r="BH736" s="23"/>
      <c r="BI736" s="23"/>
      <c r="BJ736" s="23"/>
    </row>
    <row r="737" spans="1:66" ht="15" customHeight="1" x14ac:dyDescent="0.2">
      <c r="A737" s="1">
        <v>8902092993</v>
      </c>
      <c r="B737" s="1">
        <v>890209299</v>
      </c>
      <c r="C737" s="15">
        <v>217268572</v>
      </c>
      <c r="D737" s="16" t="s">
        <v>868</v>
      </c>
      <c r="E737" s="41" t="s">
        <v>1881</v>
      </c>
      <c r="F737" s="28"/>
      <c r="G737" s="2"/>
      <c r="H737" s="3"/>
      <c r="I737" s="2"/>
      <c r="J737" s="29"/>
      <c r="K737" s="3"/>
      <c r="L737" s="2"/>
      <c r="M737" s="8"/>
      <c r="N737" s="3"/>
      <c r="O737" s="2"/>
      <c r="P737" s="3"/>
      <c r="Q737" s="2"/>
      <c r="R737" s="3"/>
      <c r="S737" s="3"/>
      <c r="T737" s="2"/>
      <c r="U737" s="8">
        <f t="shared" si="91"/>
        <v>0</v>
      </c>
      <c r="V737" s="8"/>
      <c r="W737" s="8"/>
      <c r="X737" s="8"/>
      <c r="Y737" s="8"/>
      <c r="Z737" s="8"/>
      <c r="AA737" s="8"/>
      <c r="AB737" s="8"/>
      <c r="AC737" s="8">
        <f t="shared" si="92"/>
        <v>0</v>
      </c>
      <c r="AD737" s="8"/>
      <c r="AE737" s="8"/>
      <c r="AF737" s="8"/>
      <c r="AG737" s="8"/>
      <c r="AH737" s="8"/>
      <c r="AI737" s="8"/>
      <c r="AJ737" s="8"/>
      <c r="AK737" s="8"/>
      <c r="AL737" s="8"/>
      <c r="AM737" s="8">
        <v>182327641</v>
      </c>
      <c r="AN737" s="8">
        <f>SUBTOTAL(9,AC737:AM737)</f>
        <v>182327641</v>
      </c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>
        <v>120240660</v>
      </c>
      <c r="AZ737" s="8"/>
      <c r="BA737" s="8"/>
      <c r="BB737" s="8"/>
      <c r="BC737" s="8">
        <f t="shared" si="93"/>
        <v>302568301</v>
      </c>
      <c r="BD737" s="4">
        <v>120240660</v>
      </c>
      <c r="BE737" s="4">
        <f t="shared" si="94"/>
        <v>182327641</v>
      </c>
      <c r="BF737" s="30">
        <f t="shared" si="95"/>
        <v>302568301</v>
      </c>
      <c r="BG737" s="18">
        <f t="shared" si="96"/>
        <v>0</v>
      </c>
      <c r="BH737" s="23"/>
      <c r="BI737" s="23"/>
      <c r="BJ737" s="23"/>
    </row>
    <row r="738" spans="1:66" ht="15" customHeight="1" x14ac:dyDescent="0.2">
      <c r="A738" s="1">
        <v>8000991188</v>
      </c>
      <c r="B738" s="1">
        <v>800099118</v>
      </c>
      <c r="C738" s="15">
        <v>217352573</v>
      </c>
      <c r="D738" s="16" t="s">
        <v>734</v>
      </c>
      <c r="E738" s="41" t="s">
        <v>1757</v>
      </c>
      <c r="F738" s="28"/>
      <c r="G738" s="2"/>
      <c r="H738" s="3"/>
      <c r="I738" s="2"/>
      <c r="J738" s="29"/>
      <c r="K738" s="3"/>
      <c r="L738" s="2"/>
      <c r="M738" s="8"/>
      <c r="N738" s="3"/>
      <c r="O738" s="2"/>
      <c r="P738" s="3"/>
      <c r="Q738" s="2"/>
      <c r="R738" s="3"/>
      <c r="S738" s="3"/>
      <c r="T738" s="2"/>
      <c r="U738" s="8">
        <f t="shared" si="91"/>
        <v>0</v>
      </c>
      <c r="V738" s="8"/>
      <c r="W738" s="8"/>
      <c r="X738" s="8"/>
      <c r="Y738" s="8"/>
      <c r="Z738" s="8"/>
      <c r="AA738" s="8"/>
      <c r="AB738" s="8"/>
      <c r="AC738" s="8">
        <f t="shared" si="92"/>
        <v>0</v>
      </c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>
        <v>62515675</v>
      </c>
      <c r="AZ738" s="8"/>
      <c r="BA738" s="8">
        <f>VLOOKUP(B738,[1]Hoja3!J$3:K$674,2,0)</f>
        <v>121824549</v>
      </c>
      <c r="BB738" s="8"/>
      <c r="BC738" s="8">
        <f t="shared" si="93"/>
        <v>184340224</v>
      </c>
      <c r="BD738" s="4">
        <v>62515675</v>
      </c>
      <c r="BE738" s="4">
        <f t="shared" si="94"/>
        <v>121824549</v>
      </c>
      <c r="BF738" s="30">
        <f t="shared" si="95"/>
        <v>184340224</v>
      </c>
      <c r="BG738" s="18">
        <f t="shared" si="96"/>
        <v>0</v>
      </c>
      <c r="BH738" s="23"/>
      <c r="BI738" s="23"/>
      <c r="BJ738" s="23"/>
    </row>
    <row r="739" spans="1:66" ht="15" customHeight="1" x14ac:dyDescent="0.2">
      <c r="A739" s="1">
        <v>8912004613</v>
      </c>
      <c r="B739" s="1">
        <v>891200461</v>
      </c>
      <c r="C739" s="15">
        <v>216886568</v>
      </c>
      <c r="D739" s="16" t="s">
        <v>977</v>
      </c>
      <c r="E739" s="41" t="s">
        <v>2036</v>
      </c>
      <c r="F739" s="28"/>
      <c r="G739" s="2"/>
      <c r="H739" s="3"/>
      <c r="I739" s="2"/>
      <c r="J739" s="29"/>
      <c r="K739" s="3"/>
      <c r="L739" s="2"/>
      <c r="M739" s="8"/>
      <c r="N739" s="3"/>
      <c r="O739" s="2"/>
      <c r="P739" s="3"/>
      <c r="Q739" s="2"/>
      <c r="R739" s="3"/>
      <c r="S739" s="3"/>
      <c r="T739" s="2"/>
      <c r="U739" s="8">
        <f t="shared" si="91"/>
        <v>0</v>
      </c>
      <c r="V739" s="8"/>
      <c r="W739" s="8"/>
      <c r="X739" s="8"/>
      <c r="Y739" s="8"/>
      <c r="Z739" s="8"/>
      <c r="AA739" s="8"/>
      <c r="AB739" s="8"/>
      <c r="AC739" s="8">
        <f t="shared" si="92"/>
        <v>0</v>
      </c>
      <c r="AD739" s="8"/>
      <c r="AE739" s="8"/>
      <c r="AF739" s="8"/>
      <c r="AG739" s="8"/>
      <c r="AH739" s="8"/>
      <c r="AI739" s="8"/>
      <c r="AJ739" s="8"/>
      <c r="AK739" s="8"/>
      <c r="AL739" s="8"/>
      <c r="AM739" s="8">
        <v>792088471</v>
      </c>
      <c r="AN739" s="8">
        <f>SUBTOTAL(9,AC739:AM739)</f>
        <v>792088471</v>
      </c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>
        <v>470964395</v>
      </c>
      <c r="AZ739" s="8"/>
      <c r="BA739" s="8">
        <f>VLOOKUP(B739,[1]Hoja3!J$3:K$674,2,0)</f>
        <v>296215970</v>
      </c>
      <c r="BB739" s="8"/>
      <c r="BC739" s="8">
        <f t="shared" si="93"/>
        <v>1559268836</v>
      </c>
      <c r="BD739" s="4">
        <v>470964395</v>
      </c>
      <c r="BE739" s="4">
        <f t="shared" si="94"/>
        <v>1088304441</v>
      </c>
      <c r="BF739" s="30">
        <f t="shared" si="95"/>
        <v>1559268836</v>
      </c>
      <c r="BG739" s="18">
        <f t="shared" si="96"/>
        <v>0</v>
      </c>
      <c r="BH739" s="23"/>
      <c r="BI739" s="23"/>
      <c r="BJ739" s="23"/>
    </row>
    <row r="740" spans="1:66" ht="15" customHeight="1" x14ac:dyDescent="0.2">
      <c r="A740" s="1">
        <v>8909800493</v>
      </c>
      <c r="B740" s="1">
        <v>890980049</v>
      </c>
      <c r="C740" s="15">
        <v>217905579</v>
      </c>
      <c r="D740" s="16" t="s">
        <v>118</v>
      </c>
      <c r="E740" s="41" t="s">
        <v>1148</v>
      </c>
      <c r="F740" s="28"/>
      <c r="G740" s="2"/>
      <c r="H740" s="3"/>
      <c r="I740" s="2"/>
      <c r="J740" s="29"/>
      <c r="K740" s="3"/>
      <c r="L740" s="2"/>
      <c r="M740" s="8"/>
      <c r="N740" s="3"/>
      <c r="O740" s="2"/>
      <c r="P740" s="3"/>
      <c r="Q740" s="2"/>
      <c r="R740" s="3"/>
      <c r="S740" s="3"/>
      <c r="T740" s="2"/>
      <c r="U740" s="8">
        <f t="shared" si="91"/>
        <v>0</v>
      </c>
      <c r="V740" s="8"/>
      <c r="W740" s="8"/>
      <c r="X740" s="8"/>
      <c r="Y740" s="8"/>
      <c r="Z740" s="8"/>
      <c r="AA740" s="8"/>
      <c r="AB740" s="8"/>
      <c r="AC740" s="8">
        <f t="shared" si="92"/>
        <v>0</v>
      </c>
      <c r="AD740" s="8"/>
      <c r="AE740" s="8"/>
      <c r="AF740" s="8"/>
      <c r="AG740" s="8"/>
      <c r="AH740" s="8"/>
      <c r="AI740" s="8"/>
      <c r="AJ740" s="8"/>
      <c r="AK740" s="8"/>
      <c r="AL740" s="8"/>
      <c r="AM740" s="8">
        <v>484849508</v>
      </c>
      <c r="AN740" s="8">
        <f>SUBTOTAL(9,AC740:AM740)</f>
        <v>484849508</v>
      </c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>
        <v>233641170</v>
      </c>
      <c r="AZ740" s="8"/>
      <c r="BA740" s="8"/>
      <c r="BB740" s="8"/>
      <c r="BC740" s="8">
        <f t="shared" si="93"/>
        <v>718490678</v>
      </c>
      <c r="BD740" s="4">
        <v>233641170</v>
      </c>
      <c r="BE740" s="4">
        <f t="shared" si="94"/>
        <v>484849508</v>
      </c>
      <c r="BF740" s="30">
        <f t="shared" si="95"/>
        <v>718490678</v>
      </c>
      <c r="BG740" s="18">
        <f t="shared" si="96"/>
        <v>0</v>
      </c>
      <c r="BH740" s="23"/>
      <c r="BI740" s="23"/>
      <c r="BJ740" s="23"/>
    </row>
    <row r="741" spans="1:66" ht="15" customHeight="1" x14ac:dyDescent="0.2">
      <c r="A741" s="1">
        <v>8918004664</v>
      </c>
      <c r="B741" s="1">
        <v>891800466</v>
      </c>
      <c r="C741" s="15">
        <v>217215572</v>
      </c>
      <c r="D741" s="16" t="s">
        <v>288</v>
      </c>
      <c r="E741" s="41" t="s">
        <v>1320</v>
      </c>
      <c r="F741" s="28"/>
      <c r="G741" s="17"/>
      <c r="H741" s="3"/>
      <c r="I741" s="2"/>
      <c r="J741" s="29"/>
      <c r="K741" s="3"/>
      <c r="L741" s="17"/>
      <c r="M741" s="34"/>
      <c r="N741" s="3"/>
      <c r="O741" s="17"/>
      <c r="P741" s="3"/>
      <c r="Q741" s="2"/>
      <c r="R741" s="3"/>
      <c r="S741" s="3"/>
      <c r="T741" s="17"/>
      <c r="U741" s="8">
        <f t="shared" si="91"/>
        <v>0</v>
      </c>
      <c r="V741" s="8"/>
      <c r="W741" s="8"/>
      <c r="X741" s="8"/>
      <c r="Y741" s="8"/>
      <c r="Z741" s="8"/>
      <c r="AA741" s="8"/>
      <c r="AB741" s="8"/>
      <c r="AC741" s="8">
        <f t="shared" si="92"/>
        <v>0</v>
      </c>
      <c r="AD741" s="8"/>
      <c r="AE741" s="8"/>
      <c r="AF741" s="8"/>
      <c r="AG741" s="8"/>
      <c r="AH741" s="8"/>
      <c r="AI741" s="8"/>
      <c r="AJ741" s="8"/>
      <c r="AK741" s="8"/>
      <c r="AL741" s="8"/>
      <c r="AM741" s="8">
        <v>555745453</v>
      </c>
      <c r="AN741" s="8">
        <f>SUBTOTAL(9,AC741:AM741)</f>
        <v>555745453</v>
      </c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>
        <v>310691580</v>
      </c>
      <c r="AZ741" s="8"/>
      <c r="BA741" s="8">
        <f>VLOOKUP(B741,[1]Hoja3!J$3:K$674,2,0)</f>
        <v>190147714</v>
      </c>
      <c r="BB741" s="8"/>
      <c r="BC741" s="8">
        <f t="shared" si="93"/>
        <v>1056584747</v>
      </c>
      <c r="BD741" s="4">
        <v>310691580</v>
      </c>
      <c r="BE741" s="4">
        <f t="shared" si="94"/>
        <v>745893167</v>
      </c>
      <c r="BF741" s="30">
        <f t="shared" si="95"/>
        <v>1056584747</v>
      </c>
      <c r="BG741" s="18">
        <f t="shared" si="96"/>
        <v>0</v>
      </c>
      <c r="BH741" s="23"/>
      <c r="BI741" s="14"/>
      <c r="BJ741" s="14"/>
      <c r="BK741" s="14"/>
      <c r="BL741" s="14"/>
      <c r="BM741" s="14"/>
      <c r="BN741" s="14"/>
    </row>
    <row r="742" spans="1:66" ht="15" customHeight="1" x14ac:dyDescent="0.2">
      <c r="A742" s="1">
        <v>8002298872</v>
      </c>
      <c r="B742" s="1">
        <v>800229887</v>
      </c>
      <c r="C742" s="15">
        <v>216986569</v>
      </c>
      <c r="D742" s="16" t="s">
        <v>978</v>
      </c>
      <c r="E742" s="41" t="s">
        <v>2037</v>
      </c>
      <c r="F742" s="28"/>
      <c r="G742" s="2"/>
      <c r="H742" s="3"/>
      <c r="I742" s="2"/>
      <c r="J742" s="29"/>
      <c r="K742" s="3"/>
      <c r="L742" s="2"/>
      <c r="M742" s="8"/>
      <c r="N742" s="3"/>
      <c r="O742" s="2"/>
      <c r="P742" s="3"/>
      <c r="Q742" s="2"/>
      <c r="R742" s="3"/>
      <c r="S742" s="3"/>
      <c r="T742" s="2"/>
      <c r="U742" s="8">
        <f t="shared" si="91"/>
        <v>0</v>
      </c>
      <c r="V742" s="8"/>
      <c r="W742" s="8"/>
      <c r="X742" s="8"/>
      <c r="Y742" s="8"/>
      <c r="Z742" s="8"/>
      <c r="AA742" s="8"/>
      <c r="AB742" s="8"/>
      <c r="AC742" s="8">
        <f t="shared" si="92"/>
        <v>0</v>
      </c>
      <c r="AD742" s="8"/>
      <c r="AE742" s="8"/>
      <c r="AF742" s="8"/>
      <c r="AG742" s="8"/>
      <c r="AH742" s="8"/>
      <c r="AI742" s="8"/>
      <c r="AJ742" s="8"/>
      <c r="AK742" s="8"/>
      <c r="AL742" s="8"/>
      <c r="AM742" s="8">
        <v>162120318</v>
      </c>
      <c r="AN742" s="8">
        <f>SUBTOTAL(9,AC742:AM742)</f>
        <v>162120318</v>
      </c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>
        <v>110149045</v>
      </c>
      <c r="AZ742" s="8"/>
      <c r="BA742" s="8">
        <f>VLOOKUP(B742,[1]Hoja3!J$3:K$674,2,0)</f>
        <v>24243092</v>
      </c>
      <c r="BB742" s="8"/>
      <c r="BC742" s="8">
        <f t="shared" si="93"/>
        <v>296512455</v>
      </c>
      <c r="BD742" s="4">
        <v>110149045</v>
      </c>
      <c r="BE742" s="4">
        <f t="shared" si="94"/>
        <v>186363410</v>
      </c>
      <c r="BF742" s="30">
        <f t="shared" si="95"/>
        <v>296512455</v>
      </c>
      <c r="BG742" s="18">
        <f t="shared" si="96"/>
        <v>0</v>
      </c>
      <c r="BH742" s="23"/>
      <c r="BI742" s="23"/>
      <c r="BJ742" s="23"/>
    </row>
    <row r="743" spans="1:66" ht="15" hidden="1" customHeight="1" x14ac:dyDescent="0.2">
      <c r="A743" s="1">
        <v>8920993053</v>
      </c>
      <c r="B743" s="1">
        <v>892099305</v>
      </c>
      <c r="C743" s="15">
        <v>210199001</v>
      </c>
      <c r="D743" s="16" t="s">
        <v>997</v>
      </c>
      <c r="E743" s="41" t="s">
        <v>2055</v>
      </c>
      <c r="F743" s="28"/>
      <c r="G743" s="2"/>
      <c r="H743" s="3"/>
      <c r="I743" s="2"/>
      <c r="J743" s="29"/>
      <c r="K743" s="3"/>
      <c r="L743" s="2"/>
      <c r="M743" s="8"/>
      <c r="N743" s="3"/>
      <c r="O743" s="2"/>
      <c r="P743" s="3"/>
      <c r="Q743" s="2"/>
      <c r="R743" s="3"/>
      <c r="S743" s="3"/>
      <c r="T743" s="2"/>
      <c r="U743" s="8">
        <f t="shared" si="91"/>
        <v>0</v>
      </c>
      <c r="V743" s="8"/>
      <c r="W743" s="8"/>
      <c r="X743" s="8"/>
      <c r="Y743" s="8"/>
      <c r="Z743" s="8"/>
      <c r="AA743" s="8"/>
      <c r="AB743" s="8"/>
      <c r="AC743" s="8">
        <f t="shared" si="92"/>
        <v>0</v>
      </c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>
        <f t="shared" si="93"/>
        <v>0</v>
      </c>
      <c r="BD743" s="4"/>
      <c r="BE743" s="4">
        <f t="shared" si="94"/>
        <v>0</v>
      </c>
      <c r="BF743" s="30">
        <f t="shared" si="95"/>
        <v>0</v>
      </c>
      <c r="BG743" s="18">
        <f t="shared" si="96"/>
        <v>0</v>
      </c>
      <c r="BH743" s="23"/>
      <c r="BI743" s="23"/>
      <c r="BJ743" s="23"/>
    </row>
    <row r="744" spans="1:66" ht="15" customHeight="1" x14ac:dyDescent="0.2">
      <c r="A744" s="1">
        <v>8000943862</v>
      </c>
      <c r="B744" s="1">
        <v>800094386</v>
      </c>
      <c r="C744" s="15">
        <v>217308573</v>
      </c>
      <c r="D744" s="16" t="s">
        <v>172</v>
      </c>
      <c r="E744" s="41" t="s">
        <v>1201</v>
      </c>
      <c r="F744" s="28"/>
      <c r="G744" s="2"/>
      <c r="H744" s="3"/>
      <c r="I744" s="2"/>
      <c r="J744" s="29"/>
      <c r="K744" s="3"/>
      <c r="L744" s="2"/>
      <c r="M744" s="8"/>
      <c r="N744" s="3"/>
      <c r="O744" s="2"/>
      <c r="P744" s="3"/>
      <c r="Q744" s="2"/>
      <c r="R744" s="3"/>
      <c r="S744" s="3"/>
      <c r="T744" s="2"/>
      <c r="U744" s="8">
        <f t="shared" si="91"/>
        <v>0</v>
      </c>
      <c r="V744" s="8"/>
      <c r="W744" s="8"/>
      <c r="X744" s="8"/>
      <c r="Y744" s="8"/>
      <c r="Z744" s="8"/>
      <c r="AA744" s="8"/>
      <c r="AB744" s="8"/>
      <c r="AC744" s="8">
        <f t="shared" si="92"/>
        <v>0</v>
      </c>
      <c r="AD744" s="8"/>
      <c r="AE744" s="8"/>
      <c r="AF744" s="8"/>
      <c r="AG744" s="8"/>
      <c r="AH744" s="8"/>
      <c r="AI744" s="8"/>
      <c r="AJ744" s="8"/>
      <c r="AK744" s="8"/>
      <c r="AL744" s="8"/>
      <c r="AM744" s="8">
        <v>35690713</v>
      </c>
      <c r="AN744" s="8">
        <f t="shared" ref="AN744:AN752" si="98">SUBTOTAL(9,AC744:AM744)</f>
        <v>35690713</v>
      </c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>
        <v>152311845</v>
      </c>
      <c r="AZ744" s="8"/>
      <c r="BA744" s="8">
        <f>VLOOKUP(B744,[1]Hoja3!J$3:K$674,2,0)</f>
        <v>373787376</v>
      </c>
      <c r="BB744" s="8"/>
      <c r="BC744" s="8">
        <f t="shared" si="93"/>
        <v>561789934</v>
      </c>
      <c r="BD744" s="4">
        <v>152311845</v>
      </c>
      <c r="BE744" s="4">
        <f t="shared" si="94"/>
        <v>409478089</v>
      </c>
      <c r="BF744" s="30">
        <f t="shared" si="95"/>
        <v>561789934</v>
      </c>
      <c r="BG744" s="18">
        <f t="shared" si="96"/>
        <v>0</v>
      </c>
      <c r="BH744" s="23"/>
      <c r="BI744" s="23"/>
      <c r="BJ744" s="23"/>
    </row>
    <row r="745" spans="1:66" ht="15" customHeight="1" x14ac:dyDescent="0.2">
      <c r="A745" s="1">
        <v>8001722061</v>
      </c>
      <c r="B745" s="1">
        <v>800172206</v>
      </c>
      <c r="C745" s="15">
        <v>215050450</v>
      </c>
      <c r="D745" s="16" t="s">
        <v>682</v>
      </c>
      <c r="E745" s="41" t="s">
        <v>1704</v>
      </c>
      <c r="F745" s="28"/>
      <c r="G745" s="2"/>
      <c r="H745" s="3"/>
      <c r="I745" s="2"/>
      <c r="J745" s="29"/>
      <c r="K745" s="3"/>
      <c r="L745" s="2"/>
      <c r="M745" s="8"/>
      <c r="N745" s="3"/>
      <c r="O745" s="2"/>
      <c r="P745" s="3"/>
      <c r="Q745" s="2"/>
      <c r="R745" s="3"/>
      <c r="S745" s="3"/>
      <c r="T745" s="2"/>
      <c r="U745" s="8">
        <f t="shared" si="91"/>
        <v>0</v>
      </c>
      <c r="V745" s="8"/>
      <c r="W745" s="8"/>
      <c r="X745" s="8"/>
      <c r="Y745" s="8"/>
      <c r="Z745" s="8"/>
      <c r="AA745" s="8"/>
      <c r="AB745" s="8"/>
      <c r="AC745" s="8">
        <f t="shared" si="92"/>
        <v>0</v>
      </c>
      <c r="AD745" s="8"/>
      <c r="AE745" s="8"/>
      <c r="AF745" s="8"/>
      <c r="AG745" s="8"/>
      <c r="AH745" s="8"/>
      <c r="AI745" s="8"/>
      <c r="AJ745" s="8"/>
      <c r="AK745" s="8"/>
      <c r="AL745" s="8"/>
      <c r="AM745" s="8">
        <v>139798695</v>
      </c>
      <c r="AN745" s="8">
        <f t="shared" si="98"/>
        <v>139798695</v>
      </c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>
        <v>129505875</v>
      </c>
      <c r="AZ745" s="8"/>
      <c r="BA745" s="8"/>
      <c r="BB745" s="8"/>
      <c r="BC745" s="8">
        <f t="shared" si="93"/>
        <v>269304570</v>
      </c>
      <c r="BD745" s="4">
        <v>129505875</v>
      </c>
      <c r="BE745" s="4">
        <f t="shared" si="94"/>
        <v>139798695</v>
      </c>
      <c r="BF745" s="30">
        <f t="shared" si="95"/>
        <v>269304570</v>
      </c>
      <c r="BG745" s="18">
        <f t="shared" si="96"/>
        <v>0</v>
      </c>
      <c r="BH745" s="23"/>
      <c r="BI745" s="23"/>
      <c r="BJ745" s="23"/>
    </row>
    <row r="746" spans="1:66" ht="15" customHeight="1" x14ac:dyDescent="0.2">
      <c r="A746" s="1">
        <v>8000967707</v>
      </c>
      <c r="B746" s="1">
        <v>800096770</v>
      </c>
      <c r="C746" s="15">
        <v>217423574</v>
      </c>
      <c r="D746" s="16" t="s">
        <v>452</v>
      </c>
      <c r="E746" s="41" t="s">
        <v>1479</v>
      </c>
      <c r="F746" s="28"/>
      <c r="G746" s="2"/>
      <c r="H746" s="3"/>
      <c r="I746" s="2"/>
      <c r="J746" s="29"/>
      <c r="K746" s="3"/>
      <c r="L746" s="2"/>
      <c r="M746" s="8"/>
      <c r="N746" s="3"/>
      <c r="O746" s="2"/>
      <c r="P746" s="3"/>
      <c r="Q746" s="2"/>
      <c r="R746" s="3"/>
      <c r="S746" s="3"/>
      <c r="T746" s="2"/>
      <c r="U746" s="8">
        <f t="shared" si="91"/>
        <v>0</v>
      </c>
      <c r="V746" s="8"/>
      <c r="W746" s="8"/>
      <c r="X746" s="8"/>
      <c r="Y746" s="8"/>
      <c r="Z746" s="8"/>
      <c r="AA746" s="8"/>
      <c r="AB746" s="8"/>
      <c r="AC746" s="8">
        <f t="shared" si="92"/>
        <v>0</v>
      </c>
      <c r="AD746" s="8"/>
      <c r="AE746" s="8"/>
      <c r="AF746" s="8"/>
      <c r="AG746" s="8"/>
      <c r="AH746" s="8"/>
      <c r="AI746" s="8"/>
      <c r="AJ746" s="8"/>
      <c r="AK746" s="8"/>
      <c r="AL746" s="8"/>
      <c r="AM746" s="8">
        <v>347075829</v>
      </c>
      <c r="AN746" s="8">
        <f t="shared" si="98"/>
        <v>347075829</v>
      </c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>
        <f>VLOOKUP(B746,[1]Hoja3!J$3:K$674,2,0)</f>
        <v>52628329</v>
      </c>
      <c r="BB746" s="8"/>
      <c r="BC746" s="8">
        <f t="shared" si="93"/>
        <v>399704158</v>
      </c>
      <c r="BD746" s="4"/>
      <c r="BE746" s="4">
        <f t="shared" si="94"/>
        <v>399704158</v>
      </c>
      <c r="BF746" s="30">
        <f t="shared" si="95"/>
        <v>399704158</v>
      </c>
      <c r="BG746" s="18">
        <f t="shared" si="96"/>
        <v>0</v>
      </c>
      <c r="BH746" s="23"/>
      <c r="BI746" s="23"/>
      <c r="BJ746" s="23"/>
    </row>
    <row r="747" spans="1:66" ht="15" customHeight="1" x14ac:dyDescent="0.2">
      <c r="A747" s="1">
        <v>8000790351</v>
      </c>
      <c r="B747" s="1">
        <v>800079035</v>
      </c>
      <c r="C747" s="15">
        <v>216850568</v>
      </c>
      <c r="D747" s="16" t="s">
        <v>683</v>
      </c>
      <c r="E747" s="41" t="s">
        <v>1705</v>
      </c>
      <c r="F747" s="28"/>
      <c r="G747" s="2"/>
      <c r="H747" s="3"/>
      <c r="I747" s="2"/>
      <c r="J747" s="29"/>
      <c r="K747" s="3"/>
      <c r="L747" s="2"/>
      <c r="M747" s="8"/>
      <c r="N747" s="3"/>
      <c r="O747" s="2"/>
      <c r="P747" s="3"/>
      <c r="Q747" s="2"/>
      <c r="R747" s="3"/>
      <c r="S747" s="3"/>
      <c r="T747" s="2"/>
      <c r="U747" s="8">
        <f t="shared" si="91"/>
        <v>0</v>
      </c>
      <c r="V747" s="8"/>
      <c r="W747" s="8"/>
      <c r="X747" s="8"/>
      <c r="Y747" s="8"/>
      <c r="Z747" s="8"/>
      <c r="AA747" s="8"/>
      <c r="AB747" s="8"/>
      <c r="AC747" s="8">
        <f t="shared" si="92"/>
        <v>0</v>
      </c>
      <c r="AD747" s="8"/>
      <c r="AE747" s="8"/>
      <c r="AF747" s="8"/>
      <c r="AG747" s="8"/>
      <c r="AH747" s="8"/>
      <c r="AI747" s="8"/>
      <c r="AJ747" s="8"/>
      <c r="AK747" s="8"/>
      <c r="AL747" s="8"/>
      <c r="AM747" s="8">
        <v>216307686</v>
      </c>
      <c r="AN747" s="8">
        <f t="shared" si="98"/>
        <v>216307686</v>
      </c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>
        <f>VLOOKUP(B747,[1]Hoja3!J$3:K$674,2,0)</f>
        <v>137205623</v>
      </c>
      <c r="BB747" s="8"/>
      <c r="BC747" s="8">
        <f t="shared" si="93"/>
        <v>353513309</v>
      </c>
      <c r="BD747" s="4"/>
      <c r="BE747" s="4">
        <f t="shared" si="94"/>
        <v>353513309</v>
      </c>
      <c r="BF747" s="30">
        <f t="shared" si="95"/>
        <v>353513309</v>
      </c>
      <c r="BG747" s="18">
        <f t="shared" si="96"/>
        <v>0</v>
      </c>
      <c r="BH747" s="23"/>
      <c r="BI747" s="23"/>
      <c r="BJ747" s="23"/>
    </row>
    <row r="748" spans="1:66" ht="15" customHeight="1" x14ac:dyDescent="0.2">
      <c r="A748" s="1">
        <v>8002224892</v>
      </c>
      <c r="B748" s="1">
        <v>800222489</v>
      </c>
      <c r="C748" s="15">
        <v>217186571</v>
      </c>
      <c r="D748" s="16" t="s">
        <v>979</v>
      </c>
      <c r="E748" s="41" t="s">
        <v>2038</v>
      </c>
      <c r="F748" s="28"/>
      <c r="G748" s="2"/>
      <c r="H748" s="3"/>
      <c r="I748" s="2"/>
      <c r="J748" s="29"/>
      <c r="K748" s="3"/>
      <c r="L748" s="2"/>
      <c r="M748" s="8"/>
      <c r="N748" s="3"/>
      <c r="O748" s="2"/>
      <c r="P748" s="3"/>
      <c r="Q748" s="2"/>
      <c r="R748" s="3"/>
      <c r="S748" s="3"/>
      <c r="T748" s="2"/>
      <c r="U748" s="8">
        <f t="shared" si="91"/>
        <v>0</v>
      </c>
      <c r="V748" s="8"/>
      <c r="W748" s="8"/>
      <c r="X748" s="8"/>
      <c r="Y748" s="8"/>
      <c r="Z748" s="8"/>
      <c r="AA748" s="8"/>
      <c r="AB748" s="8"/>
      <c r="AC748" s="8">
        <f t="shared" si="92"/>
        <v>0</v>
      </c>
      <c r="AD748" s="8"/>
      <c r="AE748" s="8"/>
      <c r="AF748" s="8"/>
      <c r="AG748" s="8"/>
      <c r="AH748" s="8"/>
      <c r="AI748" s="8"/>
      <c r="AJ748" s="8"/>
      <c r="AK748" s="8"/>
      <c r="AL748" s="8"/>
      <c r="AM748" s="8">
        <v>149075485</v>
      </c>
      <c r="AN748" s="8">
        <f t="shared" si="98"/>
        <v>149075485</v>
      </c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>
        <f>VLOOKUP(B748,[1]Hoja3!J$3:K$674,2,0)</f>
        <v>264508568</v>
      </c>
      <c r="BB748" s="8"/>
      <c r="BC748" s="8">
        <f t="shared" si="93"/>
        <v>413584053</v>
      </c>
      <c r="BD748" s="4"/>
      <c r="BE748" s="4">
        <f t="shared" si="94"/>
        <v>413584053</v>
      </c>
      <c r="BF748" s="30">
        <f t="shared" si="95"/>
        <v>413584053</v>
      </c>
      <c r="BG748" s="18">
        <f t="shared" si="96"/>
        <v>0</v>
      </c>
      <c r="BH748" s="23"/>
      <c r="BI748" s="23"/>
      <c r="BJ748" s="23"/>
    </row>
    <row r="749" spans="1:66" ht="15" customHeight="1" x14ac:dyDescent="0.2">
      <c r="A749" s="1">
        <v>8912005138</v>
      </c>
      <c r="B749" s="1">
        <v>891200513</v>
      </c>
      <c r="C749" s="15">
        <v>217386573</v>
      </c>
      <c r="D749" s="16" t="s">
        <v>980</v>
      </c>
      <c r="E749" s="41" t="s">
        <v>2082</v>
      </c>
      <c r="F749" s="28"/>
      <c r="G749" s="2"/>
      <c r="H749" s="3"/>
      <c r="I749" s="2"/>
      <c r="J749" s="29"/>
      <c r="K749" s="3"/>
      <c r="L749" s="2"/>
      <c r="M749" s="8"/>
      <c r="N749" s="3"/>
      <c r="O749" s="2"/>
      <c r="P749" s="3"/>
      <c r="Q749" s="2"/>
      <c r="R749" s="3"/>
      <c r="S749" s="3"/>
      <c r="T749" s="2"/>
      <c r="U749" s="8">
        <f t="shared" si="91"/>
        <v>0</v>
      </c>
      <c r="V749" s="8"/>
      <c r="W749" s="8"/>
      <c r="X749" s="8"/>
      <c r="Y749" s="8"/>
      <c r="Z749" s="8"/>
      <c r="AA749" s="8"/>
      <c r="AB749" s="8"/>
      <c r="AC749" s="8">
        <f t="shared" si="92"/>
        <v>0</v>
      </c>
      <c r="AD749" s="8"/>
      <c r="AE749" s="8"/>
      <c r="AF749" s="8"/>
      <c r="AG749" s="8"/>
      <c r="AH749" s="8"/>
      <c r="AI749" s="8"/>
      <c r="AJ749" s="8"/>
      <c r="AK749" s="8"/>
      <c r="AL749" s="8"/>
      <c r="AM749" s="8">
        <v>147575965</v>
      </c>
      <c r="AN749" s="8">
        <f t="shared" si="98"/>
        <v>147575965</v>
      </c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>
        <v>236296100</v>
      </c>
      <c r="AZ749" s="8"/>
      <c r="BA749" s="8">
        <f>VLOOKUP(B749,[1]Hoja3!J$3:K$674,2,0)</f>
        <v>304478033</v>
      </c>
      <c r="BB749" s="8"/>
      <c r="BC749" s="8">
        <f t="shared" si="93"/>
        <v>688350098</v>
      </c>
      <c r="BD749" s="4">
        <v>236296100</v>
      </c>
      <c r="BE749" s="4">
        <f t="shared" si="94"/>
        <v>452053998</v>
      </c>
      <c r="BF749" s="30">
        <f t="shared" si="95"/>
        <v>688350098</v>
      </c>
      <c r="BG749" s="18">
        <f t="shared" si="96"/>
        <v>0</v>
      </c>
      <c r="BH749" s="23"/>
      <c r="BI749" s="23"/>
      <c r="BJ749" s="23"/>
    </row>
    <row r="750" spans="1:66" ht="15" customHeight="1" x14ac:dyDescent="0.2">
      <c r="A750" s="1">
        <v>8000967721</v>
      </c>
      <c r="B750" s="1">
        <v>800096772</v>
      </c>
      <c r="C750" s="15">
        <v>218023580</v>
      </c>
      <c r="D750" s="16" t="s">
        <v>453</v>
      </c>
      <c r="E750" s="41" t="s">
        <v>1480</v>
      </c>
      <c r="F750" s="28"/>
      <c r="G750" s="2"/>
      <c r="H750" s="3"/>
      <c r="I750" s="2"/>
      <c r="J750" s="29"/>
      <c r="K750" s="3"/>
      <c r="L750" s="2"/>
      <c r="M750" s="8"/>
      <c r="N750" s="3"/>
      <c r="O750" s="2"/>
      <c r="P750" s="3"/>
      <c r="Q750" s="2"/>
      <c r="R750" s="3"/>
      <c r="S750" s="3"/>
      <c r="T750" s="2"/>
      <c r="U750" s="8">
        <f t="shared" si="91"/>
        <v>0</v>
      </c>
      <c r="V750" s="8"/>
      <c r="W750" s="8"/>
      <c r="X750" s="8"/>
      <c r="Y750" s="8"/>
      <c r="Z750" s="8"/>
      <c r="AA750" s="8"/>
      <c r="AB750" s="8"/>
      <c r="AC750" s="8">
        <f t="shared" si="92"/>
        <v>0</v>
      </c>
      <c r="AD750" s="8"/>
      <c r="AE750" s="8"/>
      <c r="AF750" s="8"/>
      <c r="AG750" s="8"/>
      <c r="AH750" s="8"/>
      <c r="AI750" s="8"/>
      <c r="AJ750" s="8"/>
      <c r="AK750" s="8"/>
      <c r="AL750" s="8"/>
      <c r="AM750" s="8">
        <v>628515061</v>
      </c>
      <c r="AN750" s="8">
        <f t="shared" si="98"/>
        <v>628515061</v>
      </c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>
        <v>475908180</v>
      </c>
      <c r="AZ750" s="8"/>
      <c r="BA750" s="8"/>
      <c r="BB750" s="8"/>
      <c r="BC750" s="8">
        <f t="shared" si="93"/>
        <v>1104423241</v>
      </c>
      <c r="BD750" s="4">
        <v>475908180</v>
      </c>
      <c r="BE750" s="4">
        <f t="shared" si="94"/>
        <v>628515061</v>
      </c>
      <c r="BF750" s="30">
        <f t="shared" si="95"/>
        <v>1104423241</v>
      </c>
      <c r="BG750" s="18">
        <f t="shared" si="96"/>
        <v>0</v>
      </c>
      <c r="BH750" s="23"/>
      <c r="BI750" s="23"/>
      <c r="BJ750" s="23"/>
    </row>
    <row r="751" spans="1:66" ht="15" customHeight="1" x14ac:dyDescent="0.2">
      <c r="A751" s="1">
        <v>8920993092</v>
      </c>
      <c r="B751" s="1">
        <v>892099309</v>
      </c>
      <c r="C751" s="15">
        <v>217750577</v>
      </c>
      <c r="D751" s="16" t="s">
        <v>685</v>
      </c>
      <c r="E751" s="41" t="s">
        <v>1707</v>
      </c>
      <c r="F751" s="28"/>
      <c r="G751" s="2"/>
      <c r="H751" s="3"/>
      <c r="I751" s="2"/>
      <c r="J751" s="29"/>
      <c r="K751" s="3"/>
      <c r="L751" s="2"/>
      <c r="M751" s="8"/>
      <c r="N751" s="3"/>
      <c r="O751" s="2"/>
      <c r="P751" s="3"/>
      <c r="Q751" s="2"/>
      <c r="R751" s="3"/>
      <c r="S751" s="3"/>
      <c r="T751" s="2"/>
      <c r="U751" s="8">
        <f t="shared" si="91"/>
        <v>0</v>
      </c>
      <c r="V751" s="8"/>
      <c r="W751" s="8"/>
      <c r="X751" s="8"/>
      <c r="Y751" s="8"/>
      <c r="Z751" s="8"/>
      <c r="AA751" s="8"/>
      <c r="AB751" s="8"/>
      <c r="AC751" s="8">
        <f t="shared" si="92"/>
        <v>0</v>
      </c>
      <c r="AD751" s="8"/>
      <c r="AE751" s="8"/>
      <c r="AF751" s="8"/>
      <c r="AG751" s="8"/>
      <c r="AH751" s="8"/>
      <c r="AI751" s="8"/>
      <c r="AJ751" s="8"/>
      <c r="AK751" s="8"/>
      <c r="AL751" s="8"/>
      <c r="AM751" s="8">
        <v>118554373</v>
      </c>
      <c r="AN751" s="8">
        <f t="shared" si="98"/>
        <v>118554373</v>
      </c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>
        <v>78905835</v>
      </c>
      <c r="AZ751" s="8"/>
      <c r="BA751" s="8"/>
      <c r="BB751" s="8"/>
      <c r="BC751" s="8">
        <f t="shared" si="93"/>
        <v>197460208</v>
      </c>
      <c r="BD751" s="4">
        <v>78905835</v>
      </c>
      <c r="BE751" s="4">
        <f t="shared" si="94"/>
        <v>118554373</v>
      </c>
      <c r="BF751" s="30">
        <f t="shared" si="95"/>
        <v>197460208</v>
      </c>
      <c r="BG751" s="18">
        <f t="shared" si="96"/>
        <v>0</v>
      </c>
      <c r="BH751" s="23"/>
      <c r="BI751" s="23"/>
      <c r="BJ751" s="23"/>
    </row>
    <row r="752" spans="1:66" ht="15" customHeight="1" x14ac:dyDescent="0.2">
      <c r="A752" s="1">
        <v>8920993250</v>
      </c>
      <c r="B752" s="1">
        <v>892099325</v>
      </c>
      <c r="C752" s="15">
        <v>217350573</v>
      </c>
      <c r="D752" s="16" t="s">
        <v>684</v>
      </c>
      <c r="E752" s="41" t="s">
        <v>1706</v>
      </c>
      <c r="F752" s="28"/>
      <c r="G752" s="2"/>
      <c r="H752" s="3"/>
      <c r="I752" s="2"/>
      <c r="J752" s="29"/>
      <c r="K752" s="3"/>
      <c r="L752" s="2"/>
      <c r="M752" s="8"/>
      <c r="N752" s="3"/>
      <c r="O752" s="2"/>
      <c r="P752" s="3"/>
      <c r="Q752" s="2"/>
      <c r="R752" s="3"/>
      <c r="S752" s="3"/>
      <c r="T752" s="2"/>
      <c r="U752" s="8">
        <f t="shared" si="91"/>
        <v>0</v>
      </c>
      <c r="V752" s="8"/>
      <c r="W752" s="8"/>
      <c r="X752" s="8"/>
      <c r="Y752" s="8"/>
      <c r="Z752" s="8"/>
      <c r="AA752" s="8"/>
      <c r="AB752" s="8"/>
      <c r="AC752" s="8">
        <f t="shared" si="92"/>
        <v>0</v>
      </c>
      <c r="AD752" s="8"/>
      <c r="AE752" s="8"/>
      <c r="AF752" s="8"/>
      <c r="AG752" s="8"/>
      <c r="AH752" s="8"/>
      <c r="AI752" s="8"/>
      <c r="AJ752" s="8"/>
      <c r="AK752" s="8"/>
      <c r="AL752" s="8"/>
      <c r="AM752" s="8">
        <v>476500138</v>
      </c>
      <c r="AN752" s="8">
        <f t="shared" si="98"/>
        <v>476500138</v>
      </c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>
        <f>VLOOKUP(B752,[1]Hoja3!J$3:K$674,2,0)</f>
        <v>121664389</v>
      </c>
      <c r="BB752" s="8"/>
      <c r="BC752" s="8">
        <f t="shared" si="93"/>
        <v>598164527</v>
      </c>
      <c r="BD752" s="4"/>
      <c r="BE752" s="4">
        <f t="shared" si="94"/>
        <v>598164527</v>
      </c>
      <c r="BF752" s="30">
        <f t="shared" si="95"/>
        <v>598164527</v>
      </c>
      <c r="BG752" s="18">
        <f t="shared" si="96"/>
        <v>0</v>
      </c>
      <c r="BH752" s="23"/>
      <c r="BI752" s="23"/>
      <c r="BJ752" s="23"/>
    </row>
    <row r="753" spans="1:66" ht="15" customHeight="1" x14ac:dyDescent="0.2">
      <c r="A753" s="1">
        <v>8909810008</v>
      </c>
      <c r="B753" s="1">
        <v>890981000</v>
      </c>
      <c r="C753" s="15">
        <v>218505585</v>
      </c>
      <c r="D753" s="16" t="s">
        <v>119</v>
      </c>
      <c r="E753" s="41" t="s">
        <v>1149</v>
      </c>
      <c r="F753" s="28"/>
      <c r="G753" s="2"/>
      <c r="H753" s="3"/>
      <c r="I753" s="2"/>
      <c r="J753" s="29"/>
      <c r="K753" s="3"/>
      <c r="L753" s="2"/>
      <c r="M753" s="8"/>
      <c r="N753" s="3"/>
      <c r="O753" s="2"/>
      <c r="P753" s="3"/>
      <c r="Q753" s="2"/>
      <c r="R753" s="3"/>
      <c r="S753" s="3"/>
      <c r="T753" s="2"/>
      <c r="U753" s="8">
        <f t="shared" si="91"/>
        <v>0</v>
      </c>
      <c r="V753" s="8"/>
      <c r="W753" s="8"/>
      <c r="X753" s="8"/>
      <c r="Y753" s="8"/>
      <c r="Z753" s="8"/>
      <c r="AA753" s="8"/>
      <c r="AB753" s="8"/>
      <c r="AC753" s="8">
        <f t="shared" si="92"/>
        <v>0</v>
      </c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>
        <f>VLOOKUP(B753,[1]Hoja3!J$3:K$674,2,0)</f>
        <v>210304322</v>
      </c>
      <c r="BB753" s="8"/>
      <c r="BC753" s="8">
        <f t="shared" si="93"/>
        <v>210304322</v>
      </c>
      <c r="BD753" s="4"/>
      <c r="BE753" s="4">
        <f t="shared" si="94"/>
        <v>210304322</v>
      </c>
      <c r="BF753" s="30">
        <f t="shared" si="95"/>
        <v>210304322</v>
      </c>
      <c r="BG753" s="18">
        <f t="shared" si="96"/>
        <v>0</v>
      </c>
      <c r="BH753" s="23"/>
      <c r="BI753" s="23"/>
      <c r="BJ753" s="23"/>
    </row>
    <row r="754" spans="1:66" ht="15" customHeight="1" x14ac:dyDescent="0.2">
      <c r="A754" s="1">
        <v>8001031612</v>
      </c>
      <c r="B754" s="1">
        <v>800103161</v>
      </c>
      <c r="C754" s="15">
        <v>214091540</v>
      </c>
      <c r="D754" s="16" t="s">
        <v>989</v>
      </c>
      <c r="E754" s="41" t="s">
        <v>2046</v>
      </c>
      <c r="F754" s="28"/>
      <c r="G754" s="2"/>
      <c r="H754" s="3"/>
      <c r="I754" s="2"/>
      <c r="J754" s="29"/>
      <c r="K754" s="3"/>
      <c r="L754" s="2"/>
      <c r="M754" s="8"/>
      <c r="N754" s="3"/>
      <c r="O754" s="2"/>
      <c r="P754" s="3"/>
      <c r="Q754" s="2"/>
      <c r="R754" s="3"/>
      <c r="S754" s="3"/>
      <c r="T754" s="2"/>
      <c r="U754" s="8">
        <f t="shared" si="91"/>
        <v>0</v>
      </c>
      <c r="V754" s="8"/>
      <c r="W754" s="8"/>
      <c r="X754" s="8"/>
      <c r="Y754" s="8"/>
      <c r="Z754" s="8"/>
      <c r="AA754" s="8"/>
      <c r="AB754" s="8"/>
      <c r="AC754" s="8">
        <f t="shared" si="92"/>
        <v>0</v>
      </c>
      <c r="AD754" s="8"/>
      <c r="AE754" s="8"/>
      <c r="AF754" s="8"/>
      <c r="AG754" s="8"/>
      <c r="AH754" s="8"/>
      <c r="AI754" s="8"/>
      <c r="AJ754" s="8"/>
      <c r="AK754" s="8"/>
      <c r="AL754" s="8"/>
      <c r="AM754" s="8">
        <v>159020783</v>
      </c>
      <c r="AN754" s="8">
        <f>SUBTOTAL(9,AC754:AM754)</f>
        <v>159020783</v>
      </c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>
        <v>83541260</v>
      </c>
      <c r="AZ754" s="8"/>
      <c r="BA754" s="8"/>
      <c r="BB754" s="8"/>
      <c r="BC754" s="8">
        <f t="shared" si="93"/>
        <v>242562043</v>
      </c>
      <c r="BD754" s="4">
        <v>83541260</v>
      </c>
      <c r="BE754" s="4">
        <f t="shared" si="94"/>
        <v>159020783</v>
      </c>
      <c r="BF754" s="30">
        <f t="shared" si="95"/>
        <v>242562043</v>
      </c>
      <c r="BG754" s="18">
        <f t="shared" si="96"/>
        <v>0</v>
      </c>
      <c r="BH754" s="23"/>
      <c r="BI754" s="23"/>
      <c r="BJ754" s="23"/>
    </row>
    <row r="755" spans="1:66" ht="15" customHeight="1" x14ac:dyDescent="0.2">
      <c r="A755" s="1">
        <v>8000605253</v>
      </c>
      <c r="B755" s="1">
        <v>800060525</v>
      </c>
      <c r="C755" s="15">
        <v>217368573</v>
      </c>
      <c r="D755" s="16" t="s">
        <v>869</v>
      </c>
      <c r="E755" s="41" t="s">
        <v>1882</v>
      </c>
      <c r="F755" s="28"/>
      <c r="G755" s="2"/>
      <c r="H755" s="3"/>
      <c r="I755" s="2"/>
      <c r="J755" s="29"/>
      <c r="K755" s="3"/>
      <c r="L755" s="2"/>
      <c r="M755" s="8"/>
      <c r="N755" s="3"/>
      <c r="O755" s="2"/>
      <c r="P755" s="3"/>
      <c r="Q755" s="2"/>
      <c r="R755" s="3"/>
      <c r="S755" s="3"/>
      <c r="T755" s="2"/>
      <c r="U755" s="8">
        <f t="shared" si="91"/>
        <v>0</v>
      </c>
      <c r="V755" s="8"/>
      <c r="W755" s="8"/>
      <c r="X755" s="8"/>
      <c r="Y755" s="8"/>
      <c r="Z755" s="8"/>
      <c r="AA755" s="8"/>
      <c r="AB755" s="8"/>
      <c r="AC755" s="8">
        <f t="shared" si="92"/>
        <v>0</v>
      </c>
      <c r="AD755" s="8"/>
      <c r="AE755" s="8"/>
      <c r="AF755" s="8"/>
      <c r="AG755" s="8"/>
      <c r="AH755" s="8"/>
      <c r="AI755" s="8"/>
      <c r="AJ755" s="8"/>
      <c r="AK755" s="8"/>
      <c r="AL755" s="8"/>
      <c r="AM755" s="8">
        <v>121310169</v>
      </c>
      <c r="AN755" s="8">
        <f>SUBTOTAL(9,AC755:AM755)</f>
        <v>121310169</v>
      </c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>
        <v>63544780</v>
      </c>
      <c r="AZ755" s="8"/>
      <c r="BA755" s="8"/>
      <c r="BB755" s="8"/>
      <c r="BC755" s="8">
        <f t="shared" si="93"/>
        <v>184854949</v>
      </c>
      <c r="BD755" s="4">
        <v>63544780</v>
      </c>
      <c r="BE755" s="4">
        <f t="shared" si="94"/>
        <v>121310169</v>
      </c>
      <c r="BF755" s="30">
        <f t="shared" si="95"/>
        <v>184854949</v>
      </c>
      <c r="BG755" s="18">
        <f t="shared" si="96"/>
        <v>0</v>
      </c>
      <c r="BH755" s="23"/>
      <c r="BI755" s="23"/>
      <c r="BJ755" s="23"/>
    </row>
    <row r="756" spans="1:66" ht="15" customHeight="1" x14ac:dyDescent="0.2">
      <c r="A756" s="1">
        <v>8000957759</v>
      </c>
      <c r="B756" s="1">
        <v>800095775</v>
      </c>
      <c r="C756" s="15">
        <v>219218592</v>
      </c>
      <c r="D756" s="16" t="s">
        <v>369</v>
      </c>
      <c r="E756" s="41" t="s">
        <v>1399</v>
      </c>
      <c r="F756" s="28"/>
      <c r="G756" s="2"/>
      <c r="H756" s="3"/>
      <c r="I756" s="2"/>
      <c r="J756" s="29"/>
      <c r="K756" s="3"/>
      <c r="L756" s="2"/>
      <c r="M756" s="8"/>
      <c r="N756" s="3"/>
      <c r="O756" s="2"/>
      <c r="P756" s="3"/>
      <c r="Q756" s="2"/>
      <c r="R756" s="3"/>
      <c r="S756" s="3"/>
      <c r="T756" s="2"/>
      <c r="U756" s="8">
        <f t="shared" si="91"/>
        <v>0</v>
      </c>
      <c r="V756" s="8"/>
      <c r="W756" s="8"/>
      <c r="X756" s="8"/>
      <c r="Y756" s="8"/>
      <c r="Z756" s="8"/>
      <c r="AA756" s="8"/>
      <c r="AB756" s="8"/>
      <c r="AC756" s="8">
        <f t="shared" si="92"/>
        <v>0</v>
      </c>
      <c r="AD756" s="8"/>
      <c r="AE756" s="8"/>
      <c r="AF756" s="8"/>
      <c r="AG756" s="8"/>
      <c r="AH756" s="8"/>
      <c r="AI756" s="8"/>
      <c r="AJ756" s="8"/>
      <c r="AK756" s="8"/>
      <c r="AL756" s="8"/>
      <c r="AM756" s="8">
        <v>121650377</v>
      </c>
      <c r="AN756" s="8">
        <f>SUBTOTAL(9,AC756:AM756)</f>
        <v>121650377</v>
      </c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>
        <v>332550095</v>
      </c>
      <c r="AZ756" s="8"/>
      <c r="BA756" s="8">
        <f>VLOOKUP(B756,[1]Hoja3!J$3:K$674,2,0)</f>
        <v>381427879</v>
      </c>
      <c r="BB756" s="8"/>
      <c r="BC756" s="8">
        <f t="shared" si="93"/>
        <v>835628351</v>
      </c>
      <c r="BD756" s="4">
        <v>332550095</v>
      </c>
      <c r="BE756" s="4">
        <f t="shared" si="94"/>
        <v>503078256</v>
      </c>
      <c r="BF756" s="30">
        <f t="shared" si="95"/>
        <v>835628351</v>
      </c>
      <c r="BG756" s="18">
        <f t="shared" si="96"/>
        <v>0</v>
      </c>
      <c r="BH756" s="23"/>
      <c r="BI756" s="23"/>
      <c r="BJ756" s="23"/>
    </row>
    <row r="757" spans="1:66" ht="15" customHeight="1" x14ac:dyDescent="0.2">
      <c r="A757" s="1">
        <v>8000981950</v>
      </c>
      <c r="B757" s="1">
        <v>800098195</v>
      </c>
      <c r="C757" s="15">
        <v>219050590</v>
      </c>
      <c r="D757" s="16" t="s">
        <v>686</v>
      </c>
      <c r="E757" s="41" t="s">
        <v>1708</v>
      </c>
      <c r="F757" s="28"/>
      <c r="G757" s="17"/>
      <c r="H757" s="3"/>
      <c r="I757" s="2"/>
      <c r="J757" s="29"/>
      <c r="K757" s="3"/>
      <c r="L757" s="17"/>
      <c r="M757" s="34"/>
      <c r="N757" s="3"/>
      <c r="O757" s="17"/>
      <c r="P757" s="3"/>
      <c r="Q757" s="2"/>
      <c r="R757" s="3"/>
      <c r="S757" s="3"/>
      <c r="T757" s="17"/>
      <c r="U757" s="8">
        <f t="shared" si="91"/>
        <v>0</v>
      </c>
      <c r="V757" s="8"/>
      <c r="W757" s="8"/>
      <c r="X757" s="8"/>
      <c r="Y757" s="8"/>
      <c r="Z757" s="8"/>
      <c r="AA757" s="8"/>
      <c r="AB757" s="8"/>
      <c r="AC757" s="8">
        <f t="shared" si="92"/>
        <v>0</v>
      </c>
      <c r="AD757" s="8"/>
      <c r="AE757" s="8"/>
      <c r="AF757" s="8"/>
      <c r="AG757" s="8"/>
      <c r="AH757" s="8"/>
      <c r="AI757" s="8"/>
      <c r="AJ757" s="8"/>
      <c r="AK757" s="8"/>
      <c r="AL757" s="8"/>
      <c r="AM757" s="8">
        <v>79357444</v>
      </c>
      <c r="AN757" s="8">
        <f>SUBTOTAL(9,AC757:AM757)</f>
        <v>79357444</v>
      </c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>
        <f>VLOOKUP(B757,[1]Hoja3!J$3:K$674,2,0)</f>
        <v>106201255</v>
      </c>
      <c r="BB757" s="8"/>
      <c r="BC757" s="8">
        <f t="shared" si="93"/>
        <v>185558699</v>
      </c>
      <c r="BD757" s="4"/>
      <c r="BE757" s="4">
        <f t="shared" si="94"/>
        <v>185558699</v>
      </c>
      <c r="BF757" s="30">
        <f t="shared" si="95"/>
        <v>185558699</v>
      </c>
      <c r="BG757" s="18">
        <f t="shared" si="96"/>
        <v>0</v>
      </c>
      <c r="BH757" s="23"/>
      <c r="BI757" s="14"/>
      <c r="BJ757" s="14"/>
      <c r="BK757" s="14"/>
      <c r="BL757" s="14"/>
      <c r="BM757" s="14"/>
      <c r="BN757" s="14"/>
    </row>
    <row r="758" spans="1:66" ht="15" customHeight="1" x14ac:dyDescent="0.2">
      <c r="A758" s="1">
        <v>8001027989</v>
      </c>
      <c r="B758" s="1">
        <v>800102798</v>
      </c>
      <c r="C758" s="15">
        <v>219181591</v>
      </c>
      <c r="D758" s="16" t="s">
        <v>952</v>
      </c>
      <c r="E758" s="41" t="s">
        <v>2013</v>
      </c>
      <c r="F758" s="28"/>
      <c r="G758" s="2"/>
      <c r="H758" s="3"/>
      <c r="I758" s="2"/>
      <c r="J758" s="29"/>
      <c r="K758" s="3"/>
      <c r="L758" s="2"/>
      <c r="M758" s="8"/>
      <c r="N758" s="3"/>
      <c r="O758" s="2"/>
      <c r="P758" s="3"/>
      <c r="Q758" s="2"/>
      <c r="R758" s="3"/>
      <c r="S758" s="3"/>
      <c r="T758" s="2"/>
      <c r="U758" s="8">
        <f t="shared" si="91"/>
        <v>0</v>
      </c>
      <c r="V758" s="8"/>
      <c r="W758" s="8"/>
      <c r="X758" s="8"/>
      <c r="Y758" s="8"/>
      <c r="Z758" s="8"/>
      <c r="AA758" s="8"/>
      <c r="AB758" s="8"/>
      <c r="AC758" s="8">
        <f t="shared" si="92"/>
        <v>0</v>
      </c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>
        <v>31186410</v>
      </c>
      <c r="AZ758" s="8"/>
      <c r="BA758" s="8">
        <f>VLOOKUP(B758,[1]Hoja3!J$3:K$674,2,0)</f>
        <v>54401070</v>
      </c>
      <c r="BB758" s="8"/>
      <c r="BC758" s="8">
        <f t="shared" si="93"/>
        <v>85587480</v>
      </c>
      <c r="BD758" s="4">
        <v>31186410</v>
      </c>
      <c r="BE758" s="4">
        <f t="shared" si="94"/>
        <v>54401070</v>
      </c>
      <c r="BF758" s="30">
        <f t="shared" si="95"/>
        <v>85587480</v>
      </c>
      <c r="BG758" s="18">
        <f t="shared" si="96"/>
        <v>0</v>
      </c>
      <c r="BH758" s="23"/>
      <c r="BI758" s="23"/>
      <c r="BJ758" s="23"/>
    </row>
    <row r="759" spans="1:66" ht="15" customHeight="1" x14ac:dyDescent="0.2">
      <c r="A759" s="1">
        <v>8999994138</v>
      </c>
      <c r="B759" s="1">
        <v>899999413</v>
      </c>
      <c r="C759" s="15">
        <v>217225572</v>
      </c>
      <c r="D759" s="16" t="s">
        <v>524</v>
      </c>
      <c r="E759" s="41" t="s">
        <v>1550</v>
      </c>
      <c r="F759" s="28"/>
      <c r="G759" s="2"/>
      <c r="H759" s="3"/>
      <c r="I759" s="2"/>
      <c r="J759" s="29"/>
      <c r="K759" s="3"/>
      <c r="L759" s="2"/>
      <c r="M759" s="8"/>
      <c r="N759" s="3"/>
      <c r="O759" s="2"/>
      <c r="P759" s="3"/>
      <c r="Q759" s="2"/>
      <c r="R759" s="3"/>
      <c r="S759" s="3"/>
      <c r="T759" s="2"/>
      <c r="U759" s="8">
        <f t="shared" si="91"/>
        <v>0</v>
      </c>
      <c r="V759" s="8"/>
      <c r="W759" s="8"/>
      <c r="X759" s="8"/>
      <c r="Y759" s="8"/>
      <c r="Z759" s="8"/>
      <c r="AA759" s="8"/>
      <c r="AB759" s="8"/>
      <c r="AC759" s="8">
        <f t="shared" si="92"/>
        <v>0</v>
      </c>
      <c r="AD759" s="8"/>
      <c r="AE759" s="8"/>
      <c r="AF759" s="8"/>
      <c r="AG759" s="8"/>
      <c r="AH759" s="8"/>
      <c r="AI759" s="8"/>
      <c r="AJ759" s="8"/>
      <c r="AK759" s="8"/>
      <c r="AL759" s="8"/>
      <c r="AM759" s="8">
        <v>204870037</v>
      </c>
      <c r="AN759" s="8">
        <f>SUBTOTAL(9,AC759:AM759)</f>
        <v>204870037</v>
      </c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>
        <v>104824095</v>
      </c>
      <c r="AZ759" s="8"/>
      <c r="BA759" s="8"/>
      <c r="BB759" s="8"/>
      <c r="BC759" s="8">
        <f t="shared" si="93"/>
        <v>309694132</v>
      </c>
      <c r="BD759" s="4">
        <v>104824095</v>
      </c>
      <c r="BE759" s="4">
        <f t="shared" si="94"/>
        <v>204870037</v>
      </c>
      <c r="BF759" s="30">
        <f t="shared" si="95"/>
        <v>309694132</v>
      </c>
      <c r="BG759" s="18">
        <f t="shared" si="96"/>
        <v>0</v>
      </c>
      <c r="BH759" s="23"/>
      <c r="BI759" s="23"/>
      <c r="BJ759" s="23"/>
    </row>
    <row r="760" spans="1:66" ht="15" customHeight="1" x14ac:dyDescent="0.2">
      <c r="A760" s="1">
        <v>8002508531</v>
      </c>
      <c r="B760" s="1">
        <v>800250853</v>
      </c>
      <c r="C760" s="15">
        <v>215354553</v>
      </c>
      <c r="D760" s="16" t="s">
        <v>777</v>
      </c>
      <c r="E760" s="41" t="s">
        <v>1795</v>
      </c>
      <c r="F760" s="28"/>
      <c r="G760" s="17"/>
      <c r="H760" s="3"/>
      <c r="I760" s="2"/>
      <c r="J760" s="29"/>
      <c r="K760" s="3"/>
      <c r="L760" s="17"/>
      <c r="M760" s="34"/>
      <c r="N760" s="3"/>
      <c r="O760" s="17"/>
      <c r="P760" s="3"/>
      <c r="Q760" s="2"/>
      <c r="R760" s="3"/>
      <c r="S760" s="3"/>
      <c r="T760" s="17"/>
      <c r="U760" s="8">
        <f t="shared" si="91"/>
        <v>0</v>
      </c>
      <c r="V760" s="8"/>
      <c r="W760" s="8"/>
      <c r="X760" s="8"/>
      <c r="Y760" s="8"/>
      <c r="Z760" s="8"/>
      <c r="AA760" s="8"/>
      <c r="AB760" s="8"/>
      <c r="AC760" s="8">
        <f t="shared" si="92"/>
        <v>0</v>
      </c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>
        <v>66005540</v>
      </c>
      <c r="AZ760" s="8"/>
      <c r="BA760" s="8">
        <f>VLOOKUP(B760,[1]Hoja3!J$3:K$674,2,0)</f>
        <v>123377280</v>
      </c>
      <c r="BB760" s="8"/>
      <c r="BC760" s="8">
        <f t="shared" si="93"/>
        <v>189382820</v>
      </c>
      <c r="BD760" s="4">
        <v>66005540</v>
      </c>
      <c r="BE760" s="4">
        <f t="shared" si="94"/>
        <v>123377280</v>
      </c>
      <c r="BF760" s="30">
        <f t="shared" si="95"/>
        <v>189382820</v>
      </c>
      <c r="BG760" s="18">
        <f t="shared" si="96"/>
        <v>0</v>
      </c>
      <c r="BH760" s="23"/>
      <c r="BI760" s="14"/>
      <c r="BJ760" s="14"/>
      <c r="BK760" s="14"/>
      <c r="BL760" s="14"/>
      <c r="BM760" s="14"/>
      <c r="BN760" s="14"/>
    </row>
    <row r="761" spans="1:66" ht="15" customHeight="1" x14ac:dyDescent="0.2">
      <c r="A761" s="1">
        <v>8915005809</v>
      </c>
      <c r="B761" s="1">
        <v>891500580</v>
      </c>
      <c r="C761" s="15">
        <v>217319573</v>
      </c>
      <c r="D761" s="16" t="s">
        <v>399</v>
      </c>
      <c r="E761" s="58" t="s">
        <v>2108</v>
      </c>
      <c r="F761" s="28"/>
      <c r="G761" s="2"/>
      <c r="H761" s="3"/>
      <c r="I761" s="2"/>
      <c r="J761" s="29"/>
      <c r="K761" s="3"/>
      <c r="L761" s="2"/>
      <c r="M761" s="8"/>
      <c r="N761" s="3"/>
      <c r="O761" s="2"/>
      <c r="P761" s="3"/>
      <c r="Q761" s="2"/>
      <c r="R761" s="3"/>
      <c r="S761" s="3"/>
      <c r="T761" s="2"/>
      <c r="U761" s="8">
        <f t="shared" si="91"/>
        <v>0</v>
      </c>
      <c r="V761" s="8"/>
      <c r="W761" s="8"/>
      <c r="X761" s="8"/>
      <c r="Y761" s="8"/>
      <c r="Z761" s="8"/>
      <c r="AA761" s="8"/>
      <c r="AB761" s="8"/>
      <c r="AC761" s="8">
        <f t="shared" si="92"/>
        <v>0</v>
      </c>
      <c r="AD761" s="8"/>
      <c r="AE761" s="8"/>
      <c r="AF761" s="8"/>
      <c r="AG761" s="8"/>
      <c r="AH761" s="8"/>
      <c r="AI761" s="8"/>
      <c r="AJ761" s="8"/>
      <c r="AK761" s="8"/>
      <c r="AL761" s="8"/>
      <c r="AM761" s="8">
        <v>143622853</v>
      </c>
      <c r="AN761" s="8">
        <f>SUBTOTAL(9,AC761:AM761)</f>
        <v>143622853</v>
      </c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>
        <v>295549095</v>
      </c>
      <c r="AZ761" s="8"/>
      <c r="BA761" s="8">
        <f>VLOOKUP(B761,[1]Hoja3!J$3:K$674,2,0)</f>
        <v>325800203</v>
      </c>
      <c r="BB761" s="8"/>
      <c r="BC761" s="8">
        <f t="shared" si="93"/>
        <v>764972151</v>
      </c>
      <c r="BD761" s="4">
        <v>295549095</v>
      </c>
      <c r="BE761" s="4">
        <f t="shared" si="94"/>
        <v>469423056</v>
      </c>
      <c r="BF761" s="30">
        <f t="shared" si="95"/>
        <v>764972151</v>
      </c>
      <c r="BG761" s="18">
        <f t="shared" si="96"/>
        <v>0</v>
      </c>
      <c r="BH761" s="23"/>
      <c r="BI761" s="23"/>
      <c r="BJ761" s="23"/>
    </row>
    <row r="762" spans="1:66" ht="15" customHeight="1" x14ac:dyDescent="0.2">
      <c r="A762" s="1">
        <v>8909839064</v>
      </c>
      <c r="B762" s="1">
        <v>890983906</v>
      </c>
      <c r="C762" s="15">
        <v>219105591</v>
      </c>
      <c r="D762" s="16" t="s">
        <v>120</v>
      </c>
      <c r="E762" s="41" t="s">
        <v>1150</v>
      </c>
      <c r="F762" s="28"/>
      <c r="G762" s="2"/>
      <c r="H762" s="3"/>
      <c r="I762" s="2"/>
      <c r="J762" s="29"/>
      <c r="K762" s="3"/>
      <c r="L762" s="2"/>
      <c r="M762" s="8"/>
      <c r="N762" s="3"/>
      <c r="O762" s="2"/>
      <c r="P762" s="3"/>
      <c r="Q762" s="2"/>
      <c r="R762" s="3"/>
      <c r="S762" s="3"/>
      <c r="T762" s="2"/>
      <c r="U762" s="8">
        <f t="shared" si="91"/>
        <v>0</v>
      </c>
      <c r="V762" s="8"/>
      <c r="W762" s="8"/>
      <c r="X762" s="8"/>
      <c r="Y762" s="8"/>
      <c r="Z762" s="8"/>
      <c r="AA762" s="8"/>
      <c r="AB762" s="8"/>
      <c r="AC762" s="8">
        <f t="shared" si="92"/>
        <v>0</v>
      </c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>
        <f>VLOOKUP(B762,[1]Hoja3!J$3:K$674,2,0)</f>
        <v>283786388</v>
      </c>
      <c r="BB762" s="8"/>
      <c r="BC762" s="8">
        <f t="shared" si="93"/>
        <v>283786388</v>
      </c>
      <c r="BD762" s="4"/>
      <c r="BE762" s="4">
        <f t="shared" si="94"/>
        <v>283786388</v>
      </c>
      <c r="BF762" s="30">
        <f t="shared" si="95"/>
        <v>283786388</v>
      </c>
      <c r="BG762" s="18">
        <f t="shared" si="96"/>
        <v>0</v>
      </c>
      <c r="BH762" s="23"/>
      <c r="BI762" s="23"/>
      <c r="BJ762" s="23"/>
    </row>
    <row r="763" spans="1:66" ht="15" customHeight="1" x14ac:dyDescent="0.2">
      <c r="A763" s="1">
        <v>8902011903</v>
      </c>
      <c r="B763" s="1">
        <v>890201190</v>
      </c>
      <c r="C763" s="15">
        <v>217568575</v>
      </c>
      <c r="D763" s="16" t="s">
        <v>870</v>
      </c>
      <c r="E763" s="41" t="s">
        <v>1883</v>
      </c>
      <c r="F763" s="28"/>
      <c r="G763" s="2"/>
      <c r="H763" s="3"/>
      <c r="I763" s="2"/>
      <c r="J763" s="29"/>
      <c r="K763" s="3"/>
      <c r="L763" s="2"/>
      <c r="M763" s="8"/>
      <c r="N763" s="3"/>
      <c r="O763" s="2"/>
      <c r="P763" s="3"/>
      <c r="Q763" s="2"/>
      <c r="R763" s="3"/>
      <c r="S763" s="3"/>
      <c r="T763" s="2"/>
      <c r="U763" s="8">
        <f t="shared" si="91"/>
        <v>0</v>
      </c>
      <c r="V763" s="8"/>
      <c r="W763" s="8"/>
      <c r="X763" s="8"/>
      <c r="Y763" s="8"/>
      <c r="Z763" s="8"/>
      <c r="AA763" s="8"/>
      <c r="AB763" s="8"/>
      <c r="AC763" s="8">
        <f t="shared" si="92"/>
        <v>0</v>
      </c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>
        <v>287441265</v>
      </c>
      <c r="AZ763" s="8"/>
      <c r="BA763" s="8">
        <f>VLOOKUP(B763,[1]Hoja3!J$3:K$674,2,0)</f>
        <v>609354724</v>
      </c>
      <c r="BB763" s="8"/>
      <c r="BC763" s="8">
        <f t="shared" si="93"/>
        <v>896795989</v>
      </c>
      <c r="BD763" s="4">
        <v>287441265</v>
      </c>
      <c r="BE763" s="4">
        <f t="shared" si="94"/>
        <v>609354724</v>
      </c>
      <c r="BF763" s="30">
        <f t="shared" si="95"/>
        <v>896795989</v>
      </c>
      <c r="BG763" s="18">
        <f t="shared" si="96"/>
        <v>0</v>
      </c>
      <c r="BH763" s="23"/>
      <c r="BI763" s="23"/>
      <c r="BJ763" s="23"/>
    </row>
    <row r="764" spans="1:66" ht="15" customHeight="1" x14ac:dyDescent="0.2">
      <c r="A764" s="1">
        <v>8000856124</v>
      </c>
      <c r="B764" s="1">
        <v>800085612</v>
      </c>
      <c r="C764" s="15">
        <v>218025580</v>
      </c>
      <c r="D764" s="16" t="s">
        <v>525</v>
      </c>
      <c r="E764" s="41" t="s">
        <v>1551</v>
      </c>
      <c r="F764" s="28"/>
      <c r="G764" s="2"/>
      <c r="H764" s="3"/>
      <c r="I764" s="2"/>
      <c r="J764" s="29"/>
      <c r="K764" s="3"/>
      <c r="L764" s="2"/>
      <c r="M764" s="8"/>
      <c r="N764" s="3"/>
      <c r="O764" s="2"/>
      <c r="P764" s="3"/>
      <c r="Q764" s="2"/>
      <c r="R764" s="3"/>
      <c r="S764" s="3"/>
      <c r="T764" s="2"/>
      <c r="U764" s="8">
        <f t="shared" si="91"/>
        <v>0</v>
      </c>
      <c r="V764" s="8"/>
      <c r="W764" s="8"/>
      <c r="X764" s="8"/>
      <c r="Y764" s="8"/>
      <c r="Z764" s="8"/>
      <c r="AA764" s="8"/>
      <c r="AB764" s="8"/>
      <c r="AC764" s="8">
        <f t="shared" si="92"/>
        <v>0</v>
      </c>
      <c r="AD764" s="8"/>
      <c r="AE764" s="8"/>
      <c r="AF764" s="8"/>
      <c r="AG764" s="8"/>
      <c r="AH764" s="8"/>
      <c r="AI764" s="8"/>
      <c r="AJ764" s="8"/>
      <c r="AK764" s="8"/>
      <c r="AL764" s="8"/>
      <c r="AM764" s="8">
        <v>36931174</v>
      </c>
      <c r="AN764" s="8">
        <f t="shared" ref="AN764:AN775" si="99">SUBTOTAL(9,AC764:AM764)</f>
        <v>36931174</v>
      </c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>
        <f t="shared" si="93"/>
        <v>36931174</v>
      </c>
      <c r="BD764" s="4"/>
      <c r="BE764" s="4">
        <f t="shared" si="94"/>
        <v>36931174</v>
      </c>
      <c r="BF764" s="30">
        <f t="shared" si="95"/>
        <v>36931174</v>
      </c>
      <c r="BG764" s="18">
        <f t="shared" si="96"/>
        <v>0</v>
      </c>
      <c r="BH764" s="23"/>
      <c r="BI764" s="23"/>
      <c r="BJ764" s="23"/>
    </row>
    <row r="765" spans="1:66" ht="15" customHeight="1" x14ac:dyDescent="0.2">
      <c r="A765" s="1">
        <v>8000991228</v>
      </c>
      <c r="B765" s="1">
        <v>800099122</v>
      </c>
      <c r="C765" s="15">
        <v>218552585</v>
      </c>
      <c r="D765" s="16" t="s">
        <v>735</v>
      </c>
      <c r="E765" s="41" t="s">
        <v>1758</v>
      </c>
      <c r="F765" s="28"/>
      <c r="G765" s="2"/>
      <c r="H765" s="3"/>
      <c r="I765" s="2"/>
      <c r="J765" s="29"/>
      <c r="K765" s="3"/>
      <c r="L765" s="2"/>
      <c r="M765" s="8"/>
      <c r="N765" s="3"/>
      <c r="O765" s="2"/>
      <c r="P765" s="3"/>
      <c r="Q765" s="2"/>
      <c r="R765" s="3"/>
      <c r="S765" s="3"/>
      <c r="T765" s="2"/>
      <c r="U765" s="8">
        <f t="shared" si="91"/>
        <v>0</v>
      </c>
      <c r="V765" s="8"/>
      <c r="W765" s="8"/>
      <c r="X765" s="8"/>
      <c r="Y765" s="8"/>
      <c r="Z765" s="8"/>
      <c r="AA765" s="8"/>
      <c r="AB765" s="8"/>
      <c r="AC765" s="8">
        <f t="shared" si="92"/>
        <v>0</v>
      </c>
      <c r="AD765" s="8"/>
      <c r="AE765" s="8"/>
      <c r="AF765" s="8"/>
      <c r="AG765" s="8"/>
      <c r="AH765" s="8"/>
      <c r="AI765" s="8"/>
      <c r="AJ765" s="8"/>
      <c r="AK765" s="8"/>
      <c r="AL765" s="8"/>
      <c r="AM765" s="8">
        <v>69373167</v>
      </c>
      <c r="AN765" s="8">
        <f t="shared" si="99"/>
        <v>69373167</v>
      </c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>
        <v>126865795</v>
      </c>
      <c r="AZ765" s="8"/>
      <c r="BA765" s="8">
        <f>VLOOKUP(B765,[1]Hoja3!J$3:K$674,2,0)</f>
        <v>183127700</v>
      </c>
      <c r="BB765" s="8"/>
      <c r="BC765" s="8">
        <f t="shared" si="93"/>
        <v>379366662</v>
      </c>
      <c r="BD765" s="4">
        <v>126865795</v>
      </c>
      <c r="BE765" s="4">
        <f t="shared" si="94"/>
        <v>252500867</v>
      </c>
      <c r="BF765" s="30">
        <f t="shared" si="95"/>
        <v>379366662</v>
      </c>
      <c r="BG765" s="18">
        <f t="shared" si="96"/>
        <v>0</v>
      </c>
      <c r="BH765" s="23"/>
      <c r="BI765" s="23"/>
      <c r="BJ765" s="23"/>
    </row>
    <row r="766" spans="1:66" ht="15" customHeight="1" x14ac:dyDescent="0.2">
      <c r="A766" s="1">
        <v>8915007210</v>
      </c>
      <c r="B766" s="1">
        <v>891500721</v>
      </c>
      <c r="C766" s="15">
        <v>218519585</v>
      </c>
      <c r="D766" s="16" t="s">
        <v>400</v>
      </c>
      <c r="E766" s="41" t="s">
        <v>1428</v>
      </c>
      <c r="F766" s="28"/>
      <c r="G766" s="2"/>
      <c r="H766" s="3"/>
      <c r="I766" s="2"/>
      <c r="J766" s="29"/>
      <c r="K766" s="3"/>
      <c r="L766" s="2"/>
      <c r="M766" s="8"/>
      <c r="N766" s="3"/>
      <c r="O766" s="2"/>
      <c r="P766" s="3"/>
      <c r="Q766" s="2"/>
      <c r="R766" s="3"/>
      <c r="S766" s="3"/>
      <c r="T766" s="2"/>
      <c r="U766" s="8">
        <f t="shared" si="91"/>
        <v>0</v>
      </c>
      <c r="V766" s="8"/>
      <c r="W766" s="8"/>
      <c r="X766" s="8"/>
      <c r="Y766" s="8"/>
      <c r="Z766" s="8"/>
      <c r="AA766" s="8"/>
      <c r="AB766" s="8"/>
      <c r="AC766" s="8">
        <f t="shared" si="92"/>
        <v>0</v>
      </c>
      <c r="AD766" s="8"/>
      <c r="AE766" s="8"/>
      <c r="AF766" s="8"/>
      <c r="AG766" s="8"/>
      <c r="AH766" s="8"/>
      <c r="AI766" s="8"/>
      <c r="AJ766" s="8"/>
      <c r="AK766" s="8"/>
      <c r="AL766" s="8"/>
      <c r="AM766" s="8">
        <v>49158381</v>
      </c>
      <c r="AN766" s="8">
        <f t="shared" si="99"/>
        <v>49158381</v>
      </c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>
        <v>130580085</v>
      </c>
      <c r="AZ766" s="8"/>
      <c r="BA766" s="8"/>
      <c r="BB766" s="8"/>
      <c r="BC766" s="8">
        <f t="shared" si="93"/>
        <v>179738466</v>
      </c>
      <c r="BD766" s="4">
        <v>130580085</v>
      </c>
      <c r="BE766" s="4">
        <f t="shared" si="94"/>
        <v>49158381</v>
      </c>
      <c r="BF766" s="30">
        <f t="shared" si="95"/>
        <v>179738466</v>
      </c>
      <c r="BG766" s="18">
        <f t="shared" si="96"/>
        <v>0</v>
      </c>
      <c r="BH766" s="23"/>
      <c r="BI766" s="23"/>
      <c r="BJ766" s="23"/>
    </row>
    <row r="767" spans="1:66" ht="15" customHeight="1" x14ac:dyDescent="0.2">
      <c r="A767" s="1">
        <v>8907010774</v>
      </c>
      <c r="B767" s="1">
        <v>890701077</v>
      </c>
      <c r="C767" s="15">
        <v>218573585</v>
      </c>
      <c r="D767" s="16" t="s">
        <v>2246</v>
      </c>
      <c r="E767" s="41" t="s">
        <v>1961</v>
      </c>
      <c r="F767" s="28"/>
      <c r="G767" s="2"/>
      <c r="H767" s="3"/>
      <c r="I767" s="2"/>
      <c r="J767" s="29"/>
      <c r="K767" s="3"/>
      <c r="L767" s="2"/>
      <c r="M767" s="8"/>
      <c r="N767" s="3"/>
      <c r="O767" s="2"/>
      <c r="P767" s="3"/>
      <c r="Q767" s="2"/>
      <c r="R767" s="3"/>
      <c r="S767" s="3"/>
      <c r="T767" s="2"/>
      <c r="U767" s="8">
        <f t="shared" si="91"/>
        <v>0</v>
      </c>
      <c r="V767" s="8"/>
      <c r="W767" s="8"/>
      <c r="X767" s="8"/>
      <c r="Y767" s="8"/>
      <c r="Z767" s="8"/>
      <c r="AA767" s="8"/>
      <c r="AB767" s="8"/>
      <c r="AC767" s="8">
        <f t="shared" si="92"/>
        <v>0</v>
      </c>
      <c r="AD767" s="8"/>
      <c r="AE767" s="8"/>
      <c r="AF767" s="8"/>
      <c r="AG767" s="8"/>
      <c r="AH767" s="8"/>
      <c r="AI767" s="8"/>
      <c r="AJ767" s="8"/>
      <c r="AK767" s="8"/>
      <c r="AL767" s="8"/>
      <c r="AM767" s="8">
        <v>216187717</v>
      </c>
      <c r="AN767" s="8">
        <f t="shared" si="99"/>
        <v>216187717</v>
      </c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>
        <v>154777350</v>
      </c>
      <c r="AZ767" s="8"/>
      <c r="BA767" s="8">
        <f>VLOOKUP(B767,[1]Hoja3!J$3:K$674,2,0)</f>
        <v>98660792</v>
      </c>
      <c r="BB767" s="8"/>
      <c r="BC767" s="8">
        <f t="shared" si="93"/>
        <v>469625859</v>
      </c>
      <c r="BD767" s="4">
        <v>154777350</v>
      </c>
      <c r="BE767" s="4">
        <f t="shared" si="94"/>
        <v>314848509</v>
      </c>
      <c r="BF767" s="30">
        <f t="shared" si="95"/>
        <v>469625859</v>
      </c>
      <c r="BG767" s="18">
        <f t="shared" si="96"/>
        <v>0</v>
      </c>
      <c r="BH767" s="23"/>
      <c r="BI767" s="23"/>
      <c r="BJ767" s="23"/>
    </row>
    <row r="768" spans="1:66" ht="15" customHeight="1" x14ac:dyDescent="0.2">
      <c r="A768" s="1">
        <v>8000791627</v>
      </c>
      <c r="B768" s="1">
        <v>800079162</v>
      </c>
      <c r="C768" s="15">
        <v>218623586</v>
      </c>
      <c r="D768" s="16" t="s">
        <v>454</v>
      </c>
      <c r="E768" s="41" t="s">
        <v>2063</v>
      </c>
      <c r="F768" s="28"/>
      <c r="G768" s="2"/>
      <c r="H768" s="3"/>
      <c r="I768" s="2"/>
      <c r="J768" s="29"/>
      <c r="K768" s="3"/>
      <c r="L768" s="2"/>
      <c r="M768" s="8"/>
      <c r="N768" s="3"/>
      <c r="O768" s="2"/>
      <c r="P768" s="3"/>
      <c r="Q768" s="2"/>
      <c r="R768" s="3"/>
      <c r="S768" s="3"/>
      <c r="T768" s="2"/>
      <c r="U768" s="8">
        <f t="shared" si="91"/>
        <v>0</v>
      </c>
      <c r="V768" s="8"/>
      <c r="W768" s="8"/>
      <c r="X768" s="8"/>
      <c r="Y768" s="8"/>
      <c r="Z768" s="8"/>
      <c r="AA768" s="8"/>
      <c r="AB768" s="8"/>
      <c r="AC768" s="8">
        <f t="shared" si="92"/>
        <v>0</v>
      </c>
      <c r="AD768" s="8"/>
      <c r="AE768" s="8"/>
      <c r="AF768" s="8"/>
      <c r="AG768" s="8"/>
      <c r="AH768" s="8"/>
      <c r="AI768" s="8"/>
      <c r="AJ768" s="8"/>
      <c r="AK768" s="8"/>
      <c r="AL768" s="8"/>
      <c r="AM768" s="8">
        <v>231023281</v>
      </c>
      <c r="AN768" s="8">
        <f t="shared" si="99"/>
        <v>231023281</v>
      </c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>
        <v>164222190</v>
      </c>
      <c r="AZ768" s="8"/>
      <c r="BA768" s="8"/>
      <c r="BB768" s="8"/>
      <c r="BC768" s="8">
        <f t="shared" si="93"/>
        <v>395245471</v>
      </c>
      <c r="BD768" s="4">
        <v>164222190</v>
      </c>
      <c r="BE768" s="4">
        <f t="shared" si="94"/>
        <v>231023281</v>
      </c>
      <c r="BF768" s="30">
        <f t="shared" si="95"/>
        <v>395245471</v>
      </c>
      <c r="BG768" s="18">
        <f t="shared" si="96"/>
        <v>0</v>
      </c>
      <c r="BH768" s="23"/>
      <c r="BI768" s="23"/>
      <c r="BJ768" s="23"/>
    </row>
    <row r="769" spans="1:66" ht="15" customHeight="1" x14ac:dyDescent="0.2">
      <c r="A769" s="1">
        <v>8999994328</v>
      </c>
      <c r="B769" s="1">
        <v>899999432</v>
      </c>
      <c r="C769" s="15">
        <v>219225592</v>
      </c>
      <c r="D769" s="16" t="s">
        <v>526</v>
      </c>
      <c r="E769" s="41" t="s">
        <v>2074</v>
      </c>
      <c r="F769" s="28"/>
      <c r="G769" s="2"/>
      <c r="H769" s="3"/>
      <c r="I769" s="2"/>
      <c r="J769" s="29"/>
      <c r="K769" s="3"/>
      <c r="L769" s="2"/>
      <c r="M769" s="8"/>
      <c r="N769" s="3"/>
      <c r="O769" s="2"/>
      <c r="P769" s="3"/>
      <c r="Q769" s="2"/>
      <c r="R769" s="3"/>
      <c r="S769" s="3"/>
      <c r="T769" s="2"/>
      <c r="U769" s="8">
        <f t="shared" si="91"/>
        <v>0</v>
      </c>
      <c r="V769" s="8"/>
      <c r="W769" s="8"/>
      <c r="X769" s="8"/>
      <c r="Y769" s="8"/>
      <c r="Z769" s="8"/>
      <c r="AA769" s="8"/>
      <c r="AB769" s="8"/>
      <c r="AC769" s="8">
        <f t="shared" si="92"/>
        <v>0</v>
      </c>
      <c r="AD769" s="8"/>
      <c r="AE769" s="8"/>
      <c r="AF769" s="8"/>
      <c r="AG769" s="8"/>
      <c r="AH769" s="8"/>
      <c r="AI769" s="8"/>
      <c r="AJ769" s="8"/>
      <c r="AK769" s="8"/>
      <c r="AL769" s="8"/>
      <c r="AM769" s="8">
        <v>74664272</v>
      </c>
      <c r="AN769" s="8">
        <f t="shared" si="99"/>
        <v>74664272</v>
      </c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>
        <v>29017770</v>
      </c>
      <c r="AZ769" s="8"/>
      <c r="BA769" s="8"/>
      <c r="BB769" s="8"/>
      <c r="BC769" s="8">
        <f t="shared" si="93"/>
        <v>103682042</v>
      </c>
      <c r="BD769" s="4">
        <v>29017770</v>
      </c>
      <c r="BE769" s="4">
        <f t="shared" si="94"/>
        <v>74664272</v>
      </c>
      <c r="BF769" s="30">
        <f t="shared" si="95"/>
        <v>103682042</v>
      </c>
      <c r="BG769" s="18">
        <f t="shared" si="96"/>
        <v>0</v>
      </c>
      <c r="BH769" s="23"/>
      <c r="BI769" s="23"/>
      <c r="BJ769" s="23"/>
    </row>
    <row r="770" spans="1:66" ht="15" customHeight="1" x14ac:dyDescent="0.2">
      <c r="A770" s="1">
        <v>8000947161</v>
      </c>
      <c r="B770" s="1">
        <v>800094716</v>
      </c>
      <c r="C770" s="15">
        <v>219425594</v>
      </c>
      <c r="D770" s="16" t="s">
        <v>527</v>
      </c>
      <c r="E770" s="41" t="s">
        <v>1552</v>
      </c>
      <c r="F770" s="28"/>
      <c r="G770" s="2"/>
      <c r="H770" s="3"/>
      <c r="I770" s="2"/>
      <c r="J770" s="29"/>
      <c r="K770" s="3"/>
      <c r="L770" s="2"/>
      <c r="M770" s="8"/>
      <c r="N770" s="3"/>
      <c r="O770" s="2"/>
      <c r="P770" s="3"/>
      <c r="Q770" s="2"/>
      <c r="R770" s="3"/>
      <c r="S770" s="3"/>
      <c r="T770" s="2"/>
      <c r="U770" s="8">
        <f t="shared" si="91"/>
        <v>0</v>
      </c>
      <c r="V770" s="8"/>
      <c r="W770" s="8"/>
      <c r="X770" s="8"/>
      <c r="Y770" s="8"/>
      <c r="Z770" s="8"/>
      <c r="AA770" s="8"/>
      <c r="AB770" s="8"/>
      <c r="AC770" s="8">
        <f t="shared" si="92"/>
        <v>0</v>
      </c>
      <c r="AD770" s="8"/>
      <c r="AE770" s="8"/>
      <c r="AF770" s="8"/>
      <c r="AG770" s="8"/>
      <c r="AH770" s="8"/>
      <c r="AI770" s="8"/>
      <c r="AJ770" s="8"/>
      <c r="AK770" s="8"/>
      <c r="AL770" s="8"/>
      <c r="AM770" s="8">
        <v>121488105</v>
      </c>
      <c r="AN770" s="8">
        <f t="shared" si="99"/>
        <v>121488105</v>
      </c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>
        <v>44210615</v>
      </c>
      <c r="AZ770" s="8"/>
      <c r="BA770" s="8"/>
      <c r="BB770" s="8"/>
      <c r="BC770" s="8">
        <f t="shared" si="93"/>
        <v>165698720</v>
      </c>
      <c r="BD770" s="4">
        <v>44210615</v>
      </c>
      <c r="BE770" s="4">
        <f t="shared" si="94"/>
        <v>121488105</v>
      </c>
      <c r="BF770" s="30">
        <f t="shared" si="95"/>
        <v>165698720</v>
      </c>
      <c r="BG770" s="18">
        <f t="shared" si="96"/>
        <v>0</v>
      </c>
      <c r="BH770" s="23"/>
      <c r="BI770" s="23"/>
      <c r="BJ770" s="23"/>
    </row>
    <row r="771" spans="1:66" ht="15" customHeight="1" x14ac:dyDescent="0.2">
      <c r="A771" s="1">
        <v>8916800110</v>
      </c>
      <c r="B771" s="1">
        <v>891680011</v>
      </c>
      <c r="C771" s="15">
        <v>210127001</v>
      </c>
      <c r="D771" s="16" t="s">
        <v>2200</v>
      </c>
      <c r="E771" s="53" t="s">
        <v>1059</v>
      </c>
      <c r="F771" s="28"/>
      <c r="G771" s="2"/>
      <c r="H771" s="3"/>
      <c r="I771" s="2">
        <f>5531319458+80732259</f>
        <v>5612051717</v>
      </c>
      <c r="J771" s="29">
        <v>387466960</v>
      </c>
      <c r="K771" s="3">
        <v>771372899</v>
      </c>
      <c r="L771" s="2"/>
      <c r="M771" s="37">
        <f>SUM(F771:L771)</f>
        <v>6770891576</v>
      </c>
      <c r="N771" s="3"/>
      <c r="O771" s="2"/>
      <c r="P771" s="3"/>
      <c r="Q771" s="2">
        <f>5119020699+661254000+36696481</f>
        <v>5816971180</v>
      </c>
      <c r="R771" s="3">
        <v>387466960</v>
      </c>
      <c r="S771" s="3">
        <f>383905939+387466960</f>
        <v>771372899</v>
      </c>
      <c r="T771" s="2"/>
      <c r="U771" s="8">
        <f t="shared" ref="U771:U834" si="100">SUM(M771:T771)</f>
        <v>13746702615</v>
      </c>
      <c r="V771" s="8"/>
      <c r="W771" s="8"/>
      <c r="X771" s="8"/>
      <c r="Y771" s="8">
        <v>8815706288</v>
      </c>
      <c r="Z771" s="8">
        <v>399172544</v>
      </c>
      <c r="AA771" s="8">
        <v>906145530</v>
      </c>
      <c r="AB771" s="8"/>
      <c r="AC771" s="8">
        <f t="shared" si="92"/>
        <v>23867726977</v>
      </c>
      <c r="AD771" s="8"/>
      <c r="AE771" s="8"/>
      <c r="AF771" s="8"/>
      <c r="AG771" s="8"/>
      <c r="AH771" s="8">
        <v>5790771394</v>
      </c>
      <c r="AI771" s="8">
        <v>513151628</v>
      </c>
      <c r="AJ771" s="8">
        <v>400662263</v>
      </c>
      <c r="AK771" s="8">
        <v>1010955132</v>
      </c>
      <c r="AL771" s="8"/>
      <c r="AM771" s="8">
        <v>1521674598</v>
      </c>
      <c r="AN771" s="8">
        <f t="shared" si="99"/>
        <v>33104941992</v>
      </c>
      <c r="AO771" s="8"/>
      <c r="AP771" s="8"/>
      <c r="AQ771" s="8">
        <v>1934807865</v>
      </c>
      <c r="AR771" s="8"/>
      <c r="AS771" s="8"/>
      <c r="AT771" s="8">
        <v>5790771394</v>
      </c>
      <c r="AU771" s="8">
        <v>299990747</v>
      </c>
      <c r="AV771" s="8">
        <v>400662263</v>
      </c>
      <c r="AW771" s="8">
        <v>684641924</v>
      </c>
      <c r="AX771" s="8"/>
      <c r="AY771" s="8"/>
      <c r="AZ771" s="8"/>
      <c r="BA771" s="8">
        <f>VLOOKUP(B771,[1]Hoja3!J$3:K$674,2,0)</f>
        <v>658832398</v>
      </c>
      <c r="BB771" s="8"/>
      <c r="BC771" s="8">
        <f t="shared" si="93"/>
        <v>42874648583</v>
      </c>
      <c r="BD771" s="4">
        <v>40694141587</v>
      </c>
      <c r="BE771" s="4">
        <f t="shared" si="94"/>
        <v>2180506996</v>
      </c>
      <c r="BF771" s="30">
        <f t="shared" si="95"/>
        <v>42874648583</v>
      </c>
      <c r="BG771" s="18">
        <f t="shared" si="96"/>
        <v>0</v>
      </c>
      <c r="BH771" s="23"/>
      <c r="BI771" s="23"/>
      <c r="BJ771" s="23"/>
    </row>
    <row r="772" spans="1:66" ht="15" customHeight="1" x14ac:dyDescent="0.2">
      <c r="A772" s="1">
        <v>8900006134</v>
      </c>
      <c r="B772" s="1">
        <v>890000613</v>
      </c>
      <c r="C772" s="15">
        <v>219463594</v>
      </c>
      <c r="D772" s="16" t="s">
        <v>798</v>
      </c>
      <c r="E772" s="41" t="s">
        <v>1816</v>
      </c>
      <c r="F772" s="28"/>
      <c r="G772" s="2"/>
      <c r="H772" s="3"/>
      <c r="I772" s="2"/>
      <c r="J772" s="29"/>
      <c r="K772" s="3"/>
      <c r="L772" s="2"/>
      <c r="M772" s="8"/>
      <c r="N772" s="3"/>
      <c r="O772" s="2"/>
      <c r="P772" s="3"/>
      <c r="Q772" s="2"/>
      <c r="R772" s="3"/>
      <c r="S772" s="3"/>
      <c r="T772" s="2"/>
      <c r="U772" s="8">
        <f t="shared" si="100"/>
        <v>0</v>
      </c>
      <c r="V772" s="8"/>
      <c r="W772" s="8"/>
      <c r="X772" s="8"/>
      <c r="Y772" s="8"/>
      <c r="Z772" s="8"/>
      <c r="AA772" s="8"/>
      <c r="AB772" s="8"/>
      <c r="AC772" s="8">
        <f t="shared" ref="AC772:AC835" si="101">SUM(U772:AB772)</f>
        <v>0</v>
      </c>
      <c r="AD772" s="8"/>
      <c r="AE772" s="8"/>
      <c r="AF772" s="8"/>
      <c r="AG772" s="8"/>
      <c r="AH772" s="8"/>
      <c r="AI772" s="8"/>
      <c r="AJ772" s="8"/>
      <c r="AK772" s="8"/>
      <c r="AL772" s="8"/>
      <c r="AM772" s="8">
        <v>395320219</v>
      </c>
      <c r="AN772" s="8">
        <f t="shared" si="99"/>
        <v>395320219</v>
      </c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>
        <v>228619770</v>
      </c>
      <c r="AZ772" s="8"/>
      <c r="BA772" s="8"/>
      <c r="BB772" s="8"/>
      <c r="BC772" s="8">
        <f t="shared" ref="BC772:BC835" si="102">SUM(AN772:BA772)-BB772</f>
        <v>623939989</v>
      </c>
      <c r="BD772" s="4">
        <v>228619770</v>
      </c>
      <c r="BE772" s="4">
        <f t="shared" ref="BE772:BE835" si="103">+AM772+BA772-BB772</f>
        <v>395320219</v>
      </c>
      <c r="BF772" s="30">
        <f t="shared" ref="BF772:BF835" si="104">+BD772+BE772</f>
        <v>623939989</v>
      </c>
      <c r="BG772" s="18">
        <f t="shared" ref="BG772:BG835" si="105">+BC772-BF772</f>
        <v>0</v>
      </c>
      <c r="BH772" s="23"/>
      <c r="BI772" s="23"/>
      <c r="BJ772" s="23"/>
    </row>
    <row r="773" spans="1:66" ht="15" customHeight="1" x14ac:dyDescent="0.2">
      <c r="A773" s="1">
        <v>8914800327</v>
      </c>
      <c r="B773" s="1">
        <v>891480032</v>
      </c>
      <c r="C773" s="15">
        <v>219466594</v>
      </c>
      <c r="D773" s="16" t="s">
        <v>809</v>
      </c>
      <c r="E773" s="41" t="s">
        <v>1827</v>
      </c>
      <c r="F773" s="28"/>
      <c r="G773" s="2"/>
      <c r="H773" s="3"/>
      <c r="I773" s="2"/>
      <c r="J773" s="29"/>
      <c r="K773" s="3"/>
      <c r="L773" s="2"/>
      <c r="M773" s="8"/>
      <c r="N773" s="3"/>
      <c r="O773" s="2"/>
      <c r="P773" s="3"/>
      <c r="Q773" s="2"/>
      <c r="R773" s="3"/>
      <c r="S773" s="3"/>
      <c r="T773" s="2"/>
      <c r="U773" s="8">
        <f t="shared" si="100"/>
        <v>0</v>
      </c>
      <c r="V773" s="8"/>
      <c r="W773" s="8"/>
      <c r="X773" s="8"/>
      <c r="Y773" s="8"/>
      <c r="Z773" s="8"/>
      <c r="AA773" s="8"/>
      <c r="AB773" s="8"/>
      <c r="AC773" s="8">
        <f t="shared" si="101"/>
        <v>0</v>
      </c>
      <c r="AD773" s="8"/>
      <c r="AE773" s="8"/>
      <c r="AF773" s="8"/>
      <c r="AG773" s="8"/>
      <c r="AH773" s="8"/>
      <c r="AI773" s="8"/>
      <c r="AJ773" s="8"/>
      <c r="AK773" s="8"/>
      <c r="AL773" s="8"/>
      <c r="AM773" s="8">
        <v>444473124</v>
      </c>
      <c r="AN773" s="8">
        <f t="shared" si="99"/>
        <v>444473124</v>
      </c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>
        <v>202304625</v>
      </c>
      <c r="AZ773" s="8"/>
      <c r="BA773" s="8"/>
      <c r="BB773" s="8"/>
      <c r="BC773" s="8">
        <f t="shared" si="102"/>
        <v>646777749</v>
      </c>
      <c r="BD773" s="4">
        <v>202304625</v>
      </c>
      <c r="BE773" s="4">
        <f t="shared" si="103"/>
        <v>444473124</v>
      </c>
      <c r="BF773" s="30">
        <f t="shared" si="104"/>
        <v>646777749</v>
      </c>
      <c r="BG773" s="18">
        <f t="shared" si="105"/>
        <v>0</v>
      </c>
      <c r="BH773" s="23"/>
      <c r="BI773" s="23"/>
      <c r="BJ773" s="23"/>
    </row>
    <row r="774" spans="1:66" ht="15" customHeight="1" x14ac:dyDescent="0.2">
      <c r="A774" s="1">
        <v>8000295135</v>
      </c>
      <c r="B774" s="1">
        <v>800029513</v>
      </c>
      <c r="C774" s="15">
        <v>218015580</v>
      </c>
      <c r="D774" s="16" t="s">
        <v>289</v>
      </c>
      <c r="E774" s="41" t="s">
        <v>1321</v>
      </c>
      <c r="F774" s="28"/>
      <c r="G774" s="17"/>
      <c r="H774" s="3"/>
      <c r="I774" s="2"/>
      <c r="J774" s="29"/>
      <c r="K774" s="3"/>
      <c r="L774" s="17"/>
      <c r="M774" s="34"/>
      <c r="N774" s="3"/>
      <c r="O774" s="17"/>
      <c r="P774" s="3"/>
      <c r="Q774" s="2"/>
      <c r="R774" s="3"/>
      <c r="S774" s="3"/>
      <c r="T774" s="17"/>
      <c r="U774" s="8">
        <f t="shared" si="100"/>
        <v>0</v>
      </c>
      <c r="V774" s="8"/>
      <c r="W774" s="8"/>
      <c r="X774" s="8"/>
      <c r="Y774" s="8"/>
      <c r="Z774" s="8"/>
      <c r="AA774" s="8"/>
      <c r="AB774" s="8"/>
      <c r="AC774" s="8">
        <f t="shared" si="101"/>
        <v>0</v>
      </c>
      <c r="AD774" s="8"/>
      <c r="AE774" s="8"/>
      <c r="AF774" s="8"/>
      <c r="AG774" s="8"/>
      <c r="AH774" s="8"/>
      <c r="AI774" s="8"/>
      <c r="AJ774" s="8"/>
      <c r="AK774" s="8"/>
      <c r="AL774" s="8"/>
      <c r="AM774" s="8">
        <v>45941454</v>
      </c>
      <c r="AN774" s="8">
        <f t="shared" si="99"/>
        <v>45941454</v>
      </c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>
        <v>52363680</v>
      </c>
      <c r="AZ774" s="8"/>
      <c r="BA774" s="8">
        <f>VLOOKUP(B774,[1]Hoja3!J$3:K$674,2,0)</f>
        <v>36977590</v>
      </c>
      <c r="BB774" s="8"/>
      <c r="BC774" s="8">
        <f t="shared" si="102"/>
        <v>135282724</v>
      </c>
      <c r="BD774" s="4">
        <v>52363680</v>
      </c>
      <c r="BE774" s="4">
        <f t="shared" si="103"/>
        <v>82919044</v>
      </c>
      <c r="BF774" s="30">
        <f t="shared" si="104"/>
        <v>135282724</v>
      </c>
      <c r="BG774" s="18">
        <f t="shared" si="105"/>
        <v>0</v>
      </c>
      <c r="BH774" s="23"/>
      <c r="BI774" s="14"/>
      <c r="BJ774" s="14"/>
      <c r="BK774" s="14"/>
      <c r="BL774" s="14"/>
      <c r="BM774" s="14"/>
      <c r="BN774" s="14"/>
    </row>
    <row r="775" spans="1:66" ht="15" customHeight="1" x14ac:dyDescent="0.2">
      <c r="A775" s="1">
        <v>8999994310</v>
      </c>
      <c r="B775" s="1">
        <v>899999431</v>
      </c>
      <c r="C775" s="15">
        <v>219625596</v>
      </c>
      <c r="D775" s="16" t="s">
        <v>528</v>
      </c>
      <c r="E775" s="41" t="s">
        <v>1553</v>
      </c>
      <c r="F775" s="28"/>
      <c r="G775" s="2"/>
      <c r="H775" s="3"/>
      <c r="I775" s="2"/>
      <c r="J775" s="29"/>
      <c r="K775" s="3"/>
      <c r="L775" s="2"/>
      <c r="M775" s="8"/>
      <c r="N775" s="3"/>
      <c r="O775" s="2"/>
      <c r="P775" s="3"/>
      <c r="Q775" s="2"/>
      <c r="R775" s="3"/>
      <c r="S775" s="3"/>
      <c r="T775" s="2"/>
      <c r="U775" s="8">
        <f t="shared" si="100"/>
        <v>0</v>
      </c>
      <c r="V775" s="8"/>
      <c r="W775" s="8"/>
      <c r="X775" s="8"/>
      <c r="Y775" s="8"/>
      <c r="Z775" s="8"/>
      <c r="AA775" s="8"/>
      <c r="AB775" s="8"/>
      <c r="AC775" s="8">
        <f t="shared" si="101"/>
        <v>0</v>
      </c>
      <c r="AD775" s="8"/>
      <c r="AE775" s="8"/>
      <c r="AF775" s="8"/>
      <c r="AG775" s="8"/>
      <c r="AH775" s="8"/>
      <c r="AI775" s="8"/>
      <c r="AJ775" s="8"/>
      <c r="AK775" s="8"/>
      <c r="AL775" s="8"/>
      <c r="AM775" s="8">
        <v>107984536</v>
      </c>
      <c r="AN775" s="8">
        <f t="shared" si="99"/>
        <v>107984536</v>
      </c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>
        <v>62635840</v>
      </c>
      <c r="AZ775" s="8"/>
      <c r="BA775" s="8"/>
      <c r="BB775" s="8"/>
      <c r="BC775" s="8">
        <f t="shared" si="102"/>
        <v>170620376</v>
      </c>
      <c r="BD775" s="4">
        <v>62635840</v>
      </c>
      <c r="BE775" s="4">
        <f t="shared" si="103"/>
        <v>107984536</v>
      </c>
      <c r="BF775" s="30">
        <f t="shared" si="104"/>
        <v>170620376</v>
      </c>
      <c r="BG775" s="18">
        <f t="shared" si="105"/>
        <v>0</v>
      </c>
      <c r="BH775" s="23"/>
      <c r="BI775" s="23"/>
      <c r="BJ775" s="23"/>
    </row>
    <row r="776" spans="1:66" ht="15" customHeight="1" x14ac:dyDescent="0.2">
      <c r="A776" s="1">
        <v>8000992511</v>
      </c>
      <c r="B776" s="1">
        <v>800099251</v>
      </c>
      <c r="C776" s="15">
        <v>219954599</v>
      </c>
      <c r="D776" s="16" t="s">
        <v>778</v>
      </c>
      <c r="E776" s="41" t="s">
        <v>1796</v>
      </c>
      <c r="F776" s="28"/>
      <c r="G776" s="2"/>
      <c r="H776" s="3"/>
      <c r="I776" s="2"/>
      <c r="J776" s="29"/>
      <c r="K776" s="3"/>
      <c r="L776" s="2"/>
      <c r="M776" s="8"/>
      <c r="N776" s="3"/>
      <c r="O776" s="2"/>
      <c r="P776" s="3"/>
      <c r="Q776" s="2"/>
      <c r="R776" s="3"/>
      <c r="S776" s="3"/>
      <c r="T776" s="2"/>
      <c r="U776" s="8">
        <f t="shared" si="100"/>
        <v>0</v>
      </c>
      <c r="V776" s="8"/>
      <c r="W776" s="8"/>
      <c r="X776" s="8"/>
      <c r="Y776" s="8"/>
      <c r="Z776" s="8"/>
      <c r="AA776" s="8"/>
      <c r="AB776" s="8"/>
      <c r="AC776" s="8">
        <f t="shared" si="101"/>
        <v>0</v>
      </c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>
        <v>32826620</v>
      </c>
      <c r="AZ776" s="8"/>
      <c r="BA776" s="8">
        <f>VLOOKUP(B776,[1]Hoja3!J$3:K$674,2,0)</f>
        <v>67278153</v>
      </c>
      <c r="BB776" s="8"/>
      <c r="BC776" s="8">
        <f t="shared" si="102"/>
        <v>100104773</v>
      </c>
      <c r="BD776" s="4">
        <v>32826620</v>
      </c>
      <c r="BE776" s="4">
        <f t="shared" si="103"/>
        <v>67278153</v>
      </c>
      <c r="BF776" s="30">
        <f t="shared" si="104"/>
        <v>100104773</v>
      </c>
      <c r="BG776" s="18">
        <f t="shared" si="105"/>
        <v>0</v>
      </c>
      <c r="BH776" s="23"/>
      <c r="BI776" s="23"/>
      <c r="BJ776" s="23"/>
    </row>
    <row r="777" spans="1:66" ht="15" customHeight="1" x14ac:dyDescent="0.2">
      <c r="A777" s="1">
        <v>8918012806</v>
      </c>
      <c r="B777" s="1">
        <v>891801280</v>
      </c>
      <c r="C777" s="15">
        <v>219915599</v>
      </c>
      <c r="D777" s="16" t="s">
        <v>290</v>
      </c>
      <c r="E777" s="41" t="s">
        <v>1260</v>
      </c>
      <c r="F777" s="28"/>
      <c r="G777" s="17"/>
      <c r="H777" s="3"/>
      <c r="I777" s="2"/>
      <c r="J777" s="29"/>
      <c r="K777" s="3"/>
      <c r="L777" s="17"/>
      <c r="M777" s="34"/>
      <c r="N777" s="3"/>
      <c r="O777" s="17"/>
      <c r="P777" s="3"/>
      <c r="Q777" s="2"/>
      <c r="R777" s="3"/>
      <c r="S777" s="3"/>
      <c r="T777" s="17"/>
      <c r="U777" s="8">
        <f t="shared" si="100"/>
        <v>0</v>
      </c>
      <c r="V777" s="8"/>
      <c r="W777" s="8"/>
      <c r="X777" s="8"/>
      <c r="Y777" s="8"/>
      <c r="Z777" s="8"/>
      <c r="AA777" s="8"/>
      <c r="AB777" s="8"/>
      <c r="AC777" s="8">
        <f t="shared" si="101"/>
        <v>0</v>
      </c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>
        <v>75716940</v>
      </c>
      <c r="AZ777" s="8"/>
      <c r="BA777" s="8">
        <f>VLOOKUP(B777,[1]Hoja3!J$3:K$674,2,0)</f>
        <v>163825075</v>
      </c>
      <c r="BB777" s="8"/>
      <c r="BC777" s="8">
        <f t="shared" si="102"/>
        <v>239542015</v>
      </c>
      <c r="BD777" s="4">
        <v>75716940</v>
      </c>
      <c r="BE777" s="4">
        <f t="shared" si="103"/>
        <v>163825075</v>
      </c>
      <c r="BF777" s="30">
        <f t="shared" si="104"/>
        <v>239542015</v>
      </c>
      <c r="BG777" s="18">
        <f t="shared" si="105"/>
        <v>0</v>
      </c>
      <c r="BH777" s="23"/>
      <c r="BI777" s="14"/>
      <c r="BJ777" s="14"/>
      <c r="BK777" s="14"/>
      <c r="BL777" s="14"/>
      <c r="BM777" s="14"/>
      <c r="BN777" s="14"/>
    </row>
    <row r="778" spans="1:66" ht="15" customHeight="1" x14ac:dyDescent="0.2">
      <c r="A778" s="1">
        <v>8918012440</v>
      </c>
      <c r="B778" s="1">
        <v>891801244</v>
      </c>
      <c r="C778" s="15">
        <v>210015600</v>
      </c>
      <c r="D778" s="16" t="s">
        <v>291</v>
      </c>
      <c r="E778" s="41" t="s">
        <v>1322</v>
      </c>
      <c r="F778" s="28"/>
      <c r="G778" s="17"/>
      <c r="H778" s="3"/>
      <c r="I778" s="2"/>
      <c r="J778" s="29"/>
      <c r="K778" s="3"/>
      <c r="L778" s="17"/>
      <c r="M778" s="34"/>
      <c r="N778" s="3"/>
      <c r="O778" s="17"/>
      <c r="P778" s="3"/>
      <c r="Q778" s="2"/>
      <c r="R778" s="3"/>
      <c r="S778" s="3"/>
      <c r="T778" s="17"/>
      <c r="U778" s="8">
        <f t="shared" si="100"/>
        <v>0</v>
      </c>
      <c r="V778" s="8"/>
      <c r="W778" s="8"/>
      <c r="X778" s="8"/>
      <c r="Y778" s="8"/>
      <c r="Z778" s="8"/>
      <c r="AA778" s="8"/>
      <c r="AB778" s="8"/>
      <c r="AC778" s="8">
        <f t="shared" si="101"/>
        <v>0</v>
      </c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>
        <v>58546675</v>
      </c>
      <c r="AZ778" s="8"/>
      <c r="BA778" s="8">
        <f>VLOOKUP(B778,[1]Hoja3!J$3:K$674,2,0)</f>
        <v>95951690</v>
      </c>
      <c r="BB778" s="8"/>
      <c r="BC778" s="8">
        <f t="shared" si="102"/>
        <v>154498365</v>
      </c>
      <c r="BD778" s="4">
        <v>58546675</v>
      </c>
      <c r="BE778" s="4">
        <f t="shared" si="103"/>
        <v>95951690</v>
      </c>
      <c r="BF778" s="30">
        <f t="shared" si="104"/>
        <v>154498365</v>
      </c>
      <c r="BG778" s="18">
        <f t="shared" si="105"/>
        <v>0</v>
      </c>
      <c r="BH778" s="23"/>
      <c r="BI778" s="14"/>
      <c r="BJ778" s="14"/>
      <c r="BK778" s="14"/>
      <c r="BL778" s="14"/>
      <c r="BM778" s="14"/>
      <c r="BN778" s="14"/>
    </row>
    <row r="779" spans="1:66" ht="15" customHeight="1" x14ac:dyDescent="0.2">
      <c r="A779" s="1">
        <v>8001036613</v>
      </c>
      <c r="B779" s="1">
        <v>800103661</v>
      </c>
      <c r="C779" s="15">
        <v>217985279</v>
      </c>
      <c r="D779" s="16" t="s">
        <v>966</v>
      </c>
      <c r="E779" s="41" t="s">
        <v>2027</v>
      </c>
      <c r="F779" s="28"/>
      <c r="G779" s="2"/>
      <c r="H779" s="3"/>
      <c r="I779" s="2"/>
      <c r="J779" s="29"/>
      <c r="K779" s="3"/>
      <c r="L779" s="2"/>
      <c r="M779" s="8"/>
      <c r="N779" s="3"/>
      <c r="O779" s="2"/>
      <c r="P779" s="3"/>
      <c r="Q779" s="2"/>
      <c r="R779" s="3"/>
      <c r="S779" s="3"/>
      <c r="T779" s="2"/>
      <c r="U779" s="8">
        <f t="shared" si="100"/>
        <v>0</v>
      </c>
      <c r="V779" s="8"/>
      <c r="W779" s="8"/>
      <c r="X779" s="8"/>
      <c r="Y779" s="8"/>
      <c r="Z779" s="8"/>
      <c r="AA779" s="8"/>
      <c r="AB779" s="8"/>
      <c r="AC779" s="8">
        <f t="shared" si="101"/>
        <v>0</v>
      </c>
      <c r="AD779" s="8"/>
      <c r="AE779" s="8"/>
      <c r="AF779" s="8"/>
      <c r="AG779" s="8"/>
      <c r="AH779" s="8"/>
      <c r="AI779" s="8"/>
      <c r="AJ779" s="8"/>
      <c r="AK779" s="8"/>
      <c r="AL779" s="8"/>
      <c r="AM779" s="8">
        <v>15330475</v>
      </c>
      <c r="AN779" s="8">
        <f>SUBTOTAL(9,AC779:AM779)</f>
        <v>15330475</v>
      </c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>
        <v>11374715</v>
      </c>
      <c r="AZ779" s="8"/>
      <c r="BA779" s="8"/>
      <c r="BB779" s="8"/>
      <c r="BC779" s="8">
        <f t="shared" si="102"/>
        <v>26705190</v>
      </c>
      <c r="BD779" s="4">
        <v>11374715</v>
      </c>
      <c r="BE779" s="4">
        <f t="shared" si="103"/>
        <v>15330475</v>
      </c>
      <c r="BF779" s="30">
        <f t="shared" si="104"/>
        <v>26705190</v>
      </c>
      <c r="BG779" s="18">
        <f t="shared" si="105"/>
        <v>0</v>
      </c>
      <c r="BH779" s="23"/>
      <c r="BI779" s="23"/>
      <c r="BJ779" s="23"/>
    </row>
    <row r="780" spans="1:66" ht="15" customHeight="1" x14ac:dyDescent="0.2">
      <c r="A780" s="1">
        <v>8060012741</v>
      </c>
      <c r="B780" s="1">
        <v>806001274</v>
      </c>
      <c r="C780" s="15">
        <v>218013580</v>
      </c>
      <c r="D780" s="16" t="s">
        <v>201</v>
      </c>
      <c r="E780" s="41" t="s">
        <v>1232</v>
      </c>
      <c r="F780" s="28"/>
      <c r="G780" s="17"/>
      <c r="H780" s="3"/>
      <c r="I780" s="2"/>
      <c r="J780" s="29"/>
      <c r="K780" s="3"/>
      <c r="L780" s="17"/>
      <c r="M780" s="34"/>
      <c r="N780" s="3"/>
      <c r="O780" s="17"/>
      <c r="P780" s="3"/>
      <c r="Q780" s="2"/>
      <c r="R780" s="3"/>
      <c r="S780" s="3"/>
      <c r="T780" s="17"/>
      <c r="U780" s="8">
        <f t="shared" si="100"/>
        <v>0</v>
      </c>
      <c r="V780" s="8"/>
      <c r="W780" s="8"/>
      <c r="X780" s="8"/>
      <c r="Y780" s="8"/>
      <c r="Z780" s="8"/>
      <c r="AA780" s="8"/>
      <c r="AB780" s="8"/>
      <c r="AC780" s="8">
        <f t="shared" si="101"/>
        <v>0</v>
      </c>
      <c r="AD780" s="8"/>
      <c r="AE780" s="8"/>
      <c r="AF780" s="8"/>
      <c r="AG780" s="8"/>
      <c r="AH780" s="8"/>
      <c r="AI780" s="8"/>
      <c r="AJ780" s="8"/>
      <c r="AK780" s="8"/>
      <c r="AL780" s="8"/>
      <c r="AM780" s="8">
        <v>45518341</v>
      </c>
      <c r="AN780" s="8">
        <f>SUBTOTAL(9,AC780:AM780)</f>
        <v>45518341</v>
      </c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>
        <f>VLOOKUP(B780,[1]Hoja3!J$3:K$674,2,0)</f>
        <v>58239050</v>
      </c>
      <c r="BB780" s="8"/>
      <c r="BC780" s="8">
        <f t="shared" si="102"/>
        <v>103757391</v>
      </c>
      <c r="BD780" s="4"/>
      <c r="BE780" s="4">
        <f t="shared" si="103"/>
        <v>103757391</v>
      </c>
      <c r="BF780" s="30">
        <f t="shared" si="104"/>
        <v>103757391</v>
      </c>
      <c r="BG780" s="18">
        <f t="shared" si="105"/>
        <v>0</v>
      </c>
      <c r="BH780" s="23"/>
      <c r="BI780" s="14"/>
      <c r="BJ780" s="14"/>
      <c r="BK780" s="14"/>
      <c r="BL780" s="14"/>
      <c r="BM780" s="14"/>
      <c r="BN780" s="14"/>
    </row>
    <row r="781" spans="1:66" ht="15" customHeight="1" x14ac:dyDescent="0.2">
      <c r="A781" s="1">
        <v>8909843124</v>
      </c>
      <c r="B781" s="1">
        <v>890984312</v>
      </c>
      <c r="C781" s="15">
        <v>210405604</v>
      </c>
      <c r="D781" s="16" t="s">
        <v>121</v>
      </c>
      <c r="E781" s="41" t="s">
        <v>1122</v>
      </c>
      <c r="F781" s="28"/>
      <c r="G781" s="2"/>
      <c r="H781" s="3"/>
      <c r="I781" s="2"/>
      <c r="J781" s="29"/>
      <c r="K781" s="3"/>
      <c r="L781" s="2"/>
      <c r="M781" s="8"/>
      <c r="N781" s="3"/>
      <c r="O781" s="2"/>
      <c r="P781" s="3"/>
      <c r="Q781" s="2"/>
      <c r="R781" s="3"/>
      <c r="S781" s="3"/>
      <c r="T781" s="2"/>
      <c r="U781" s="8">
        <f t="shared" si="100"/>
        <v>0</v>
      </c>
      <c r="V781" s="8"/>
      <c r="W781" s="8"/>
      <c r="X781" s="8"/>
      <c r="Y781" s="8"/>
      <c r="Z781" s="8"/>
      <c r="AA781" s="8"/>
      <c r="AB781" s="8"/>
      <c r="AC781" s="8">
        <f t="shared" si="101"/>
        <v>0</v>
      </c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>
        <v>256881985</v>
      </c>
      <c r="AZ781" s="8"/>
      <c r="BA781" s="8">
        <f>VLOOKUP(B781,[1]Hoja3!J$3:K$674,2,0)</f>
        <v>481763802</v>
      </c>
      <c r="BB781" s="8"/>
      <c r="BC781" s="8">
        <f t="shared" si="102"/>
        <v>738645787</v>
      </c>
      <c r="BD781" s="4">
        <v>256881985</v>
      </c>
      <c r="BE781" s="4">
        <f t="shared" si="103"/>
        <v>481763802</v>
      </c>
      <c r="BF781" s="30">
        <f t="shared" si="104"/>
        <v>738645787</v>
      </c>
      <c r="BG781" s="18">
        <f t="shared" si="105"/>
        <v>0</v>
      </c>
      <c r="BH781" s="23"/>
      <c r="BI781" s="23"/>
      <c r="BJ781" s="23"/>
    </row>
    <row r="782" spans="1:66" ht="15" customHeight="1" x14ac:dyDescent="0.2">
      <c r="A782" s="1">
        <v>8917800521</v>
      </c>
      <c r="B782" s="1">
        <v>891780052</v>
      </c>
      <c r="C782" s="15">
        <v>210547605</v>
      </c>
      <c r="D782" s="16" t="s">
        <v>655</v>
      </c>
      <c r="E782" s="41" t="s">
        <v>1676</v>
      </c>
      <c r="F782" s="28"/>
      <c r="G782" s="2"/>
      <c r="H782" s="3"/>
      <c r="I782" s="2"/>
      <c r="J782" s="29"/>
      <c r="K782" s="3"/>
      <c r="L782" s="2"/>
      <c r="M782" s="8"/>
      <c r="N782" s="3"/>
      <c r="O782" s="2"/>
      <c r="P782" s="3"/>
      <c r="Q782" s="2"/>
      <c r="R782" s="3"/>
      <c r="S782" s="3"/>
      <c r="T782" s="2"/>
      <c r="U782" s="8">
        <f t="shared" si="100"/>
        <v>0</v>
      </c>
      <c r="V782" s="8"/>
      <c r="W782" s="8"/>
      <c r="X782" s="8"/>
      <c r="Y782" s="8"/>
      <c r="Z782" s="8"/>
      <c r="AA782" s="8"/>
      <c r="AB782" s="8"/>
      <c r="AC782" s="8">
        <f t="shared" si="101"/>
        <v>0</v>
      </c>
      <c r="AD782" s="8"/>
      <c r="AE782" s="8"/>
      <c r="AF782" s="8"/>
      <c r="AG782" s="8"/>
      <c r="AH782" s="8"/>
      <c r="AI782" s="8"/>
      <c r="AJ782" s="8"/>
      <c r="AK782" s="8"/>
      <c r="AL782" s="8"/>
      <c r="AM782" s="8">
        <v>48596171</v>
      </c>
      <c r="AN782" s="8">
        <f>SUBTOTAL(9,AC782:AM782)</f>
        <v>48596171</v>
      </c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>
        <v>85922310</v>
      </c>
      <c r="AZ782" s="8"/>
      <c r="BA782" s="8">
        <f>VLOOKUP(B782,[1]Hoja3!J$3:K$674,2,0)</f>
        <v>95268443</v>
      </c>
      <c r="BB782" s="8"/>
      <c r="BC782" s="8">
        <f t="shared" si="102"/>
        <v>229786924</v>
      </c>
      <c r="BD782" s="4">
        <v>85922310</v>
      </c>
      <c r="BE782" s="4">
        <f t="shared" si="103"/>
        <v>143864614</v>
      </c>
      <c r="BF782" s="30">
        <f t="shared" si="104"/>
        <v>229786924</v>
      </c>
      <c r="BG782" s="18">
        <f t="shared" si="105"/>
        <v>0</v>
      </c>
      <c r="BH782" s="23"/>
      <c r="BI782" s="23"/>
      <c r="BJ782" s="23"/>
    </row>
    <row r="783" spans="1:66" ht="15" customHeight="1" x14ac:dyDescent="0.2">
      <c r="A783" s="1">
        <v>8901039622</v>
      </c>
      <c r="B783" s="1">
        <v>890103962</v>
      </c>
      <c r="C783" s="15">
        <v>210608606</v>
      </c>
      <c r="D783" s="16" t="s">
        <v>173</v>
      </c>
      <c r="E783" s="41" t="s">
        <v>1202</v>
      </c>
      <c r="F783" s="28"/>
      <c r="G783" s="2"/>
      <c r="H783" s="3"/>
      <c r="I783" s="2"/>
      <c r="J783" s="29"/>
      <c r="K783" s="3"/>
      <c r="L783" s="2"/>
      <c r="M783" s="8"/>
      <c r="N783" s="3"/>
      <c r="O783" s="2"/>
      <c r="P783" s="3"/>
      <c r="Q783" s="2"/>
      <c r="R783" s="3"/>
      <c r="S783" s="3"/>
      <c r="T783" s="2"/>
      <c r="U783" s="8">
        <f t="shared" si="100"/>
        <v>0</v>
      </c>
      <c r="V783" s="8"/>
      <c r="W783" s="8"/>
      <c r="X783" s="8"/>
      <c r="Y783" s="8"/>
      <c r="Z783" s="8"/>
      <c r="AA783" s="8"/>
      <c r="AB783" s="8"/>
      <c r="AC783" s="8">
        <f t="shared" si="101"/>
        <v>0</v>
      </c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>
        <v>245626265</v>
      </c>
      <c r="AZ783" s="8"/>
      <c r="BA783" s="8">
        <f>VLOOKUP(B783,[1]Hoja3!J$3:K$674,2,0)</f>
        <v>446374962</v>
      </c>
      <c r="BB783" s="8"/>
      <c r="BC783" s="8">
        <f t="shared" si="102"/>
        <v>692001227</v>
      </c>
      <c r="BD783" s="4">
        <v>245626265</v>
      </c>
      <c r="BE783" s="4">
        <f t="shared" si="103"/>
        <v>446374962</v>
      </c>
      <c r="BF783" s="30">
        <f t="shared" si="104"/>
        <v>692001227</v>
      </c>
      <c r="BG783" s="18">
        <f t="shared" si="105"/>
        <v>0</v>
      </c>
      <c r="BH783" s="23"/>
      <c r="BI783" s="23"/>
      <c r="BJ783" s="23"/>
    </row>
    <row r="784" spans="1:66" ht="15" customHeight="1" x14ac:dyDescent="0.2">
      <c r="A784" s="1">
        <v>8000981991</v>
      </c>
      <c r="B784" s="1">
        <v>800098199</v>
      </c>
      <c r="C784" s="15">
        <v>210650606</v>
      </c>
      <c r="D784" s="16" t="s">
        <v>687</v>
      </c>
      <c r="E784" s="41" t="s">
        <v>1709</v>
      </c>
      <c r="F784" s="28"/>
      <c r="G784" s="2"/>
      <c r="H784" s="3"/>
      <c r="I784" s="2"/>
      <c r="J784" s="29"/>
      <c r="K784" s="3"/>
      <c r="L784" s="2"/>
      <c r="M784" s="8"/>
      <c r="N784" s="3"/>
      <c r="O784" s="2"/>
      <c r="P784" s="3"/>
      <c r="Q784" s="2"/>
      <c r="R784" s="3"/>
      <c r="S784" s="3"/>
      <c r="T784" s="2"/>
      <c r="U784" s="8">
        <f t="shared" si="100"/>
        <v>0</v>
      </c>
      <c r="V784" s="8"/>
      <c r="W784" s="8"/>
      <c r="X784" s="8"/>
      <c r="Y784" s="8"/>
      <c r="Z784" s="8"/>
      <c r="AA784" s="8"/>
      <c r="AB784" s="8"/>
      <c r="AC784" s="8">
        <f t="shared" si="101"/>
        <v>0</v>
      </c>
      <c r="AD784" s="8"/>
      <c r="AE784" s="8"/>
      <c r="AF784" s="8"/>
      <c r="AG784" s="8"/>
      <c r="AH784" s="8"/>
      <c r="AI784" s="8"/>
      <c r="AJ784" s="8"/>
      <c r="AK784" s="8"/>
      <c r="AL784" s="8"/>
      <c r="AM784" s="8">
        <v>280787778</v>
      </c>
      <c r="AN784" s="8">
        <f>SUBTOTAL(9,AC784:AM784)</f>
        <v>280787778</v>
      </c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>
        <v>82502865</v>
      </c>
      <c r="AZ784" s="8"/>
      <c r="BA784" s="8"/>
      <c r="BB784" s="8"/>
      <c r="BC784" s="8">
        <f t="shared" si="102"/>
        <v>363290643</v>
      </c>
      <c r="BD784" s="4">
        <v>82502865</v>
      </c>
      <c r="BE784" s="4">
        <f t="shared" si="103"/>
        <v>280787778</v>
      </c>
      <c r="BF784" s="30">
        <f t="shared" si="104"/>
        <v>363290643</v>
      </c>
      <c r="BG784" s="18">
        <f t="shared" si="105"/>
        <v>0</v>
      </c>
      <c r="BH784" s="23"/>
      <c r="BI784" s="23"/>
      <c r="BJ784" s="23"/>
    </row>
    <row r="785" spans="1:66" ht="15" customHeight="1" x14ac:dyDescent="0.2">
      <c r="A785" s="1">
        <v>8919021912</v>
      </c>
      <c r="B785" s="1">
        <v>891902191</v>
      </c>
      <c r="C785" s="15">
        <v>210676606</v>
      </c>
      <c r="D785" s="16" t="s">
        <v>935</v>
      </c>
      <c r="E785" s="41" t="s">
        <v>1996</v>
      </c>
      <c r="F785" s="28"/>
      <c r="G785" s="17"/>
      <c r="H785" s="3"/>
      <c r="I785" s="2"/>
      <c r="J785" s="29"/>
      <c r="K785" s="3"/>
      <c r="L785" s="17"/>
      <c r="M785" s="34"/>
      <c r="N785" s="3"/>
      <c r="O785" s="17"/>
      <c r="P785" s="3"/>
      <c r="Q785" s="2"/>
      <c r="R785" s="3"/>
      <c r="S785" s="3"/>
      <c r="T785" s="17"/>
      <c r="U785" s="8">
        <f t="shared" si="100"/>
        <v>0</v>
      </c>
      <c r="V785" s="8"/>
      <c r="W785" s="8"/>
      <c r="X785" s="8"/>
      <c r="Y785" s="8"/>
      <c r="Z785" s="8"/>
      <c r="AA785" s="8"/>
      <c r="AB785" s="8"/>
      <c r="AC785" s="8">
        <f t="shared" si="101"/>
        <v>0</v>
      </c>
      <c r="AD785" s="8"/>
      <c r="AE785" s="8"/>
      <c r="AF785" s="8"/>
      <c r="AG785" s="8"/>
      <c r="AH785" s="8"/>
      <c r="AI785" s="8"/>
      <c r="AJ785" s="8"/>
      <c r="AK785" s="8"/>
      <c r="AL785" s="8"/>
      <c r="AM785" s="8">
        <v>247218068</v>
      </c>
      <c r="AN785" s="8">
        <f>SUBTOTAL(9,AC785:AM785)</f>
        <v>247218068</v>
      </c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>
        <f t="shared" si="102"/>
        <v>247218068</v>
      </c>
      <c r="BD785" s="4"/>
      <c r="BE785" s="4">
        <f t="shared" si="103"/>
        <v>247218068</v>
      </c>
      <c r="BF785" s="30">
        <f t="shared" si="104"/>
        <v>247218068</v>
      </c>
      <c r="BG785" s="18">
        <f t="shared" si="105"/>
        <v>0</v>
      </c>
      <c r="BH785" s="23"/>
      <c r="BI785" s="14"/>
      <c r="BJ785" s="14"/>
      <c r="BK785" s="14"/>
      <c r="BL785" s="14"/>
      <c r="BM785" s="14"/>
      <c r="BN785" s="14"/>
    </row>
    <row r="786" spans="1:66" ht="15" customHeight="1" x14ac:dyDescent="0.2">
      <c r="A786" s="1">
        <v>8909836740</v>
      </c>
      <c r="B786" s="1">
        <v>890983674</v>
      </c>
      <c r="C786" s="15">
        <v>210705607</v>
      </c>
      <c r="D786" s="16" t="s">
        <v>122</v>
      </c>
      <c r="E786" s="41" t="s">
        <v>1151</v>
      </c>
      <c r="F786" s="28"/>
      <c r="G786" s="2"/>
      <c r="H786" s="3"/>
      <c r="I786" s="2"/>
      <c r="J786" s="29"/>
      <c r="K786" s="3"/>
      <c r="L786" s="2"/>
      <c r="M786" s="8"/>
      <c r="N786" s="3"/>
      <c r="O786" s="2"/>
      <c r="P786" s="3"/>
      <c r="Q786" s="2"/>
      <c r="R786" s="3"/>
      <c r="S786" s="3"/>
      <c r="T786" s="2"/>
      <c r="U786" s="8">
        <f t="shared" si="100"/>
        <v>0</v>
      </c>
      <c r="V786" s="8"/>
      <c r="W786" s="8"/>
      <c r="X786" s="8"/>
      <c r="Y786" s="8"/>
      <c r="Z786" s="8"/>
      <c r="AA786" s="8"/>
      <c r="AB786" s="8"/>
      <c r="AC786" s="8">
        <f t="shared" si="101"/>
        <v>0</v>
      </c>
      <c r="AD786" s="8"/>
      <c r="AE786" s="8"/>
      <c r="AF786" s="8"/>
      <c r="AG786" s="8"/>
      <c r="AH786" s="8"/>
      <c r="AI786" s="8"/>
      <c r="AJ786" s="8"/>
      <c r="AK786" s="8"/>
      <c r="AL786" s="8"/>
      <c r="AM786" s="8">
        <v>208885551</v>
      </c>
      <c r="AN786" s="8">
        <f>SUBTOTAL(9,AC786:AM786)</f>
        <v>208885551</v>
      </c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>
        <v>78083215</v>
      </c>
      <c r="AZ786" s="8"/>
      <c r="BA786" s="8"/>
      <c r="BB786" s="8"/>
      <c r="BC786" s="8">
        <f t="shared" si="102"/>
        <v>286968766</v>
      </c>
      <c r="BD786" s="4">
        <v>78083215</v>
      </c>
      <c r="BE786" s="4">
        <f t="shared" si="103"/>
        <v>208885551</v>
      </c>
      <c r="BF786" s="30">
        <f t="shared" si="104"/>
        <v>286968766</v>
      </c>
      <c r="BG786" s="18">
        <f t="shared" si="105"/>
        <v>0</v>
      </c>
      <c r="BH786" s="23"/>
      <c r="BI786" s="23"/>
      <c r="BJ786" s="23"/>
    </row>
    <row r="787" spans="1:66" ht="15" customHeight="1" x14ac:dyDescent="0.2">
      <c r="A787" s="1">
        <v>8906800591</v>
      </c>
      <c r="B787" s="1">
        <v>890680059</v>
      </c>
      <c r="C787" s="15">
        <v>211225612</v>
      </c>
      <c r="D787" s="16" t="s">
        <v>530</v>
      </c>
      <c r="E787" s="41" t="s">
        <v>1555</v>
      </c>
      <c r="F787" s="28"/>
      <c r="G787" s="2"/>
      <c r="H787" s="3"/>
      <c r="I787" s="2"/>
      <c r="J787" s="29"/>
      <c r="K787" s="3"/>
      <c r="L787" s="2"/>
      <c r="M787" s="8"/>
      <c r="N787" s="3"/>
      <c r="O787" s="2"/>
      <c r="P787" s="3"/>
      <c r="Q787" s="2"/>
      <c r="R787" s="3"/>
      <c r="S787" s="3"/>
      <c r="T787" s="2"/>
      <c r="U787" s="8">
        <f t="shared" si="100"/>
        <v>0</v>
      </c>
      <c r="V787" s="8"/>
      <c r="W787" s="8"/>
      <c r="X787" s="8"/>
      <c r="Y787" s="8"/>
      <c r="Z787" s="8"/>
      <c r="AA787" s="8"/>
      <c r="AB787" s="8"/>
      <c r="AC787" s="8">
        <f t="shared" si="101"/>
        <v>0</v>
      </c>
      <c r="AD787" s="8"/>
      <c r="AE787" s="8"/>
      <c r="AF787" s="8"/>
      <c r="AG787" s="8"/>
      <c r="AH787" s="8"/>
      <c r="AI787" s="8"/>
      <c r="AJ787" s="8"/>
      <c r="AK787" s="8"/>
      <c r="AL787" s="8"/>
      <c r="AM787" s="8">
        <v>110322884</v>
      </c>
      <c r="AN787" s="8">
        <f>SUBTOTAL(9,AC787:AM787)</f>
        <v>110322884</v>
      </c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>
        <v>50345485</v>
      </c>
      <c r="AZ787" s="8"/>
      <c r="BA787" s="8"/>
      <c r="BB787" s="8"/>
      <c r="BC787" s="8">
        <f t="shared" si="102"/>
        <v>160668369</v>
      </c>
      <c r="BD787" s="4">
        <v>50345485</v>
      </c>
      <c r="BE787" s="4">
        <f t="shared" si="103"/>
        <v>110322884</v>
      </c>
      <c r="BF787" s="30">
        <f t="shared" si="104"/>
        <v>160668369</v>
      </c>
      <c r="BG787" s="18">
        <f t="shared" si="105"/>
        <v>0</v>
      </c>
      <c r="BH787" s="23"/>
      <c r="BI787" s="23"/>
      <c r="BJ787" s="23"/>
    </row>
    <row r="788" spans="1:66" ht="15" customHeight="1" x14ac:dyDescent="0.2">
      <c r="A788" s="1">
        <v>8000991274</v>
      </c>
      <c r="B788" s="1">
        <v>800099127</v>
      </c>
      <c r="C788" s="15">
        <v>211252612</v>
      </c>
      <c r="D788" s="16" t="s">
        <v>736</v>
      </c>
      <c r="E788" s="41" t="s">
        <v>1759</v>
      </c>
      <c r="F788" s="28"/>
      <c r="G788" s="2"/>
      <c r="H788" s="3"/>
      <c r="I788" s="2"/>
      <c r="J788" s="29"/>
      <c r="K788" s="3"/>
      <c r="L788" s="2"/>
      <c r="M788" s="8"/>
      <c r="N788" s="3"/>
      <c r="O788" s="2"/>
      <c r="P788" s="3"/>
      <c r="Q788" s="2"/>
      <c r="R788" s="3"/>
      <c r="S788" s="3"/>
      <c r="T788" s="2"/>
      <c r="U788" s="8">
        <f t="shared" si="100"/>
        <v>0</v>
      </c>
      <c r="V788" s="8"/>
      <c r="W788" s="8"/>
      <c r="X788" s="8"/>
      <c r="Y788" s="8"/>
      <c r="Z788" s="8"/>
      <c r="AA788" s="8"/>
      <c r="AB788" s="8"/>
      <c r="AC788" s="8">
        <f t="shared" si="101"/>
        <v>0</v>
      </c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>
        <f>VLOOKUP(B788,[1]Hoja3!J$3:K$674,2,0)</f>
        <v>203200189</v>
      </c>
      <c r="BB788" s="8"/>
      <c r="BC788" s="8">
        <f t="shared" si="102"/>
        <v>203200189</v>
      </c>
      <c r="BD788" s="4"/>
      <c r="BE788" s="4">
        <f t="shared" si="103"/>
        <v>203200189</v>
      </c>
      <c r="BF788" s="30">
        <f t="shared" si="104"/>
        <v>203200189</v>
      </c>
      <c r="BG788" s="18">
        <f t="shared" si="105"/>
        <v>0</v>
      </c>
      <c r="BH788" s="23"/>
      <c r="BI788" s="23"/>
      <c r="BJ788" s="23"/>
    </row>
    <row r="789" spans="1:66" ht="15" customHeight="1" x14ac:dyDescent="0.2">
      <c r="A789" s="1">
        <v>8923001231</v>
      </c>
      <c r="B789" s="1">
        <v>892300123</v>
      </c>
      <c r="C789" s="15">
        <v>211420614</v>
      </c>
      <c r="D789" s="16" t="s">
        <v>431</v>
      </c>
      <c r="E789" s="41" t="s">
        <v>1458</v>
      </c>
      <c r="F789" s="28"/>
      <c r="G789" s="2"/>
      <c r="H789" s="3"/>
      <c r="I789" s="2"/>
      <c r="J789" s="29"/>
      <c r="K789" s="3"/>
      <c r="L789" s="2"/>
      <c r="M789" s="8"/>
      <c r="N789" s="3"/>
      <c r="O789" s="2"/>
      <c r="P789" s="3"/>
      <c r="Q789" s="2"/>
      <c r="R789" s="3"/>
      <c r="S789" s="3"/>
      <c r="T789" s="2"/>
      <c r="U789" s="8">
        <f t="shared" si="100"/>
        <v>0</v>
      </c>
      <c r="V789" s="8"/>
      <c r="W789" s="8"/>
      <c r="X789" s="8"/>
      <c r="Y789" s="8"/>
      <c r="Z789" s="8"/>
      <c r="AA789" s="8"/>
      <c r="AB789" s="8"/>
      <c r="AC789" s="8">
        <f t="shared" si="101"/>
        <v>0</v>
      </c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>
        <v>139592085</v>
      </c>
      <c r="AZ789" s="8"/>
      <c r="BA789" s="8">
        <f>VLOOKUP(B789,[1]Hoja3!J$3:K$674,2,0)</f>
        <v>273132442</v>
      </c>
      <c r="BB789" s="8"/>
      <c r="BC789" s="8">
        <f t="shared" si="102"/>
        <v>412724527</v>
      </c>
      <c r="BD789" s="4">
        <v>139592085</v>
      </c>
      <c r="BE789" s="4">
        <f t="shared" si="103"/>
        <v>273132442</v>
      </c>
      <c r="BF789" s="30">
        <f t="shared" si="104"/>
        <v>412724527</v>
      </c>
      <c r="BG789" s="18">
        <f t="shared" si="105"/>
        <v>0</v>
      </c>
      <c r="BH789" s="23"/>
      <c r="BI789" s="23"/>
      <c r="BJ789" s="23"/>
    </row>
    <row r="790" spans="1:66" ht="15" customHeight="1" x14ac:dyDescent="0.2">
      <c r="A790" s="1">
        <v>8180012030</v>
      </c>
      <c r="B790" s="1">
        <v>818001203</v>
      </c>
      <c r="C790" s="15">
        <v>218027580</v>
      </c>
      <c r="D790" s="16" t="s">
        <v>587</v>
      </c>
      <c r="E790" s="41" t="s">
        <v>1608</v>
      </c>
      <c r="F790" s="28"/>
      <c r="G790" s="2"/>
      <c r="H790" s="3"/>
      <c r="I790" s="2"/>
      <c r="J790" s="29"/>
      <c r="K790" s="3"/>
      <c r="L790" s="2"/>
      <c r="M790" s="8"/>
      <c r="N790" s="3"/>
      <c r="O790" s="2"/>
      <c r="P790" s="3"/>
      <c r="Q790" s="2"/>
      <c r="R790" s="3"/>
      <c r="S790" s="3"/>
      <c r="T790" s="2"/>
      <c r="U790" s="8">
        <f t="shared" si="100"/>
        <v>0</v>
      </c>
      <c r="V790" s="8"/>
      <c r="W790" s="8"/>
      <c r="X790" s="8"/>
      <c r="Y790" s="8"/>
      <c r="Z790" s="8"/>
      <c r="AA790" s="8"/>
      <c r="AB790" s="8"/>
      <c r="AC790" s="8">
        <f t="shared" si="101"/>
        <v>0</v>
      </c>
      <c r="AD790" s="8"/>
      <c r="AE790" s="8"/>
      <c r="AF790" s="8"/>
      <c r="AG790" s="8"/>
      <c r="AH790" s="8"/>
      <c r="AI790" s="8"/>
      <c r="AJ790" s="8"/>
      <c r="AK790" s="8"/>
      <c r="AL790" s="8"/>
      <c r="AM790" s="8">
        <v>112174902</v>
      </c>
      <c r="AN790" s="8">
        <f>SUBTOTAL(9,AC790:AM790)</f>
        <v>112174902</v>
      </c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>
        <v>98323835</v>
      </c>
      <c r="AZ790" s="8"/>
      <c r="BA790" s="8"/>
      <c r="BB790" s="8"/>
      <c r="BC790" s="8">
        <f t="shared" si="102"/>
        <v>210498737</v>
      </c>
      <c r="BD790" s="4">
        <v>98323835</v>
      </c>
      <c r="BE790" s="4">
        <f t="shared" si="103"/>
        <v>112174902</v>
      </c>
      <c r="BF790" s="30">
        <f t="shared" si="104"/>
        <v>210498737</v>
      </c>
      <c r="BG790" s="18">
        <f t="shared" si="105"/>
        <v>0</v>
      </c>
      <c r="BH790" s="23"/>
      <c r="BI790" s="23"/>
      <c r="BJ790" s="23"/>
    </row>
    <row r="791" spans="1:66" ht="15" customHeight="1" x14ac:dyDescent="0.2">
      <c r="A791" s="1">
        <v>8180008991</v>
      </c>
      <c r="B791" s="1">
        <v>818000899</v>
      </c>
      <c r="C791" s="15">
        <v>210027600</v>
      </c>
      <c r="D791" s="16" t="s">
        <v>588</v>
      </c>
      <c r="E791" s="41" t="s">
        <v>1609</v>
      </c>
      <c r="F791" s="28"/>
      <c r="G791" s="2"/>
      <c r="H791" s="3"/>
      <c r="I791" s="2"/>
      <c r="J791" s="29"/>
      <c r="K791" s="3"/>
      <c r="L791" s="2"/>
      <c r="M791" s="8"/>
      <c r="N791" s="3"/>
      <c r="O791" s="2"/>
      <c r="P791" s="3"/>
      <c r="Q791" s="2"/>
      <c r="R791" s="3"/>
      <c r="S791" s="3"/>
      <c r="T791" s="2"/>
      <c r="U791" s="8">
        <f t="shared" si="100"/>
        <v>0</v>
      </c>
      <c r="V791" s="8"/>
      <c r="W791" s="8"/>
      <c r="X791" s="8"/>
      <c r="Y791" s="8"/>
      <c r="Z791" s="8"/>
      <c r="AA791" s="8"/>
      <c r="AB791" s="8"/>
      <c r="AC791" s="8">
        <f t="shared" si="101"/>
        <v>0</v>
      </c>
      <c r="AD791" s="8"/>
      <c r="AE791" s="8"/>
      <c r="AF791" s="8"/>
      <c r="AG791" s="8"/>
      <c r="AH791" s="8"/>
      <c r="AI791" s="8"/>
      <c r="AJ791" s="8"/>
      <c r="AK791" s="8"/>
      <c r="AL791" s="8"/>
      <c r="AM791" s="8">
        <v>190411353</v>
      </c>
      <c r="AN791" s="8">
        <f>SUBTOTAL(9,AC791:AM791)</f>
        <v>190411353</v>
      </c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>
        <v>151882040</v>
      </c>
      <c r="AZ791" s="8"/>
      <c r="BA791" s="8"/>
      <c r="BB791" s="8"/>
      <c r="BC791" s="8">
        <f t="shared" si="102"/>
        <v>342293393</v>
      </c>
      <c r="BD791" s="4">
        <v>151882040</v>
      </c>
      <c r="BE791" s="4">
        <f t="shared" si="103"/>
        <v>190411353</v>
      </c>
      <c r="BF791" s="30">
        <f t="shared" si="104"/>
        <v>342293393</v>
      </c>
      <c r="BG791" s="18">
        <f t="shared" si="105"/>
        <v>0</v>
      </c>
      <c r="BH791" s="23"/>
      <c r="BI791" s="23"/>
      <c r="BJ791" s="23"/>
    </row>
    <row r="792" spans="1:66" ht="15" customHeight="1" x14ac:dyDescent="0.2">
      <c r="A792" s="1">
        <v>8916800790</v>
      </c>
      <c r="B792" s="1">
        <v>891680079</v>
      </c>
      <c r="C792" s="15">
        <v>211527615</v>
      </c>
      <c r="D792" s="16" t="s">
        <v>2116</v>
      </c>
      <c r="E792" s="41" t="s">
        <v>1610</v>
      </c>
      <c r="F792" s="28"/>
      <c r="G792" s="2"/>
      <c r="H792" s="3"/>
      <c r="I792" s="2"/>
      <c r="J792" s="29"/>
      <c r="K792" s="3"/>
      <c r="L792" s="2"/>
      <c r="M792" s="8"/>
      <c r="N792" s="3"/>
      <c r="O792" s="2"/>
      <c r="P792" s="3"/>
      <c r="Q792" s="2"/>
      <c r="R792" s="3"/>
      <c r="S792" s="3"/>
      <c r="T792" s="2"/>
      <c r="U792" s="8">
        <f t="shared" si="100"/>
        <v>0</v>
      </c>
      <c r="V792" s="8"/>
      <c r="W792" s="8"/>
      <c r="X792" s="8"/>
      <c r="Y792" s="8"/>
      <c r="Z792" s="8"/>
      <c r="AA792" s="8"/>
      <c r="AB792" s="8"/>
      <c r="AC792" s="8">
        <f t="shared" si="101"/>
        <v>0</v>
      </c>
      <c r="AD792" s="8"/>
      <c r="AE792" s="8"/>
      <c r="AF792" s="8"/>
      <c r="AG792" s="8"/>
      <c r="AH792" s="8"/>
      <c r="AI792" s="8"/>
      <c r="AJ792" s="8"/>
      <c r="AK792" s="8"/>
      <c r="AL792" s="8"/>
      <c r="AM792" s="8">
        <v>579561426</v>
      </c>
      <c r="AN792" s="8">
        <f>SUBTOTAL(9,AC792:AM792)</f>
        <v>579561426</v>
      </c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>
        <v>532055625</v>
      </c>
      <c r="AZ792" s="8"/>
      <c r="BA792" s="8"/>
      <c r="BB792" s="8"/>
      <c r="BC792" s="8">
        <f t="shared" si="102"/>
        <v>1111617051</v>
      </c>
      <c r="BD792" s="4">
        <v>532055625</v>
      </c>
      <c r="BE792" s="4">
        <f t="shared" si="103"/>
        <v>579561426</v>
      </c>
      <c r="BF792" s="30">
        <f t="shared" si="104"/>
        <v>1111617051</v>
      </c>
      <c r="BG792" s="18">
        <f t="shared" si="105"/>
        <v>0</v>
      </c>
      <c r="BH792" s="23"/>
      <c r="BI792" s="23"/>
      <c r="BJ792" s="23"/>
    </row>
    <row r="793" spans="1:66" ht="15" customHeight="1" x14ac:dyDescent="0.2">
      <c r="A793" s="1">
        <v>8904814470</v>
      </c>
      <c r="B793" s="1">
        <v>890481447</v>
      </c>
      <c r="C793" s="15">
        <v>210013600</v>
      </c>
      <c r="D793" s="16" t="s">
        <v>202</v>
      </c>
      <c r="E793" s="41" t="s">
        <v>1233</v>
      </c>
      <c r="F793" s="28"/>
      <c r="G793" s="17"/>
      <c r="H793" s="3"/>
      <c r="I793" s="2"/>
      <c r="J793" s="29"/>
      <c r="K793" s="3"/>
      <c r="L793" s="17"/>
      <c r="M793" s="34"/>
      <c r="N793" s="3"/>
      <c r="O793" s="17"/>
      <c r="P793" s="3"/>
      <c r="Q793" s="2"/>
      <c r="R793" s="3"/>
      <c r="S793" s="3"/>
      <c r="T793" s="17"/>
      <c r="U793" s="8">
        <f t="shared" si="100"/>
        <v>0</v>
      </c>
      <c r="V793" s="8"/>
      <c r="W793" s="8"/>
      <c r="X793" s="8"/>
      <c r="Y793" s="8"/>
      <c r="Z793" s="8"/>
      <c r="AA793" s="8"/>
      <c r="AB793" s="8"/>
      <c r="AC793" s="8">
        <f t="shared" si="101"/>
        <v>0</v>
      </c>
      <c r="AD793" s="8"/>
      <c r="AE793" s="8"/>
      <c r="AF793" s="8"/>
      <c r="AG793" s="8"/>
      <c r="AH793" s="8"/>
      <c r="AI793" s="8"/>
      <c r="AJ793" s="8"/>
      <c r="AK793" s="8"/>
      <c r="AL793" s="8"/>
      <c r="AM793" s="8">
        <v>52747968</v>
      </c>
      <c r="AN793" s="8">
        <f>SUBTOTAL(9,AC793:AM793)</f>
        <v>52747968</v>
      </c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>
        <v>160158290</v>
      </c>
      <c r="AZ793" s="8"/>
      <c r="BA793" s="8">
        <f>VLOOKUP(B793,[1]Hoja3!J$3:K$674,2,0)</f>
        <v>90860265</v>
      </c>
      <c r="BB793" s="8"/>
      <c r="BC793" s="8">
        <f t="shared" si="102"/>
        <v>303766523</v>
      </c>
      <c r="BD793" s="4">
        <v>160158290</v>
      </c>
      <c r="BE793" s="4">
        <f t="shared" si="103"/>
        <v>143608233</v>
      </c>
      <c r="BF793" s="30">
        <f t="shared" si="104"/>
        <v>303766523</v>
      </c>
      <c r="BG793" s="18">
        <f t="shared" si="105"/>
        <v>0</v>
      </c>
      <c r="BH793" s="23"/>
      <c r="BI793" s="14"/>
      <c r="BJ793" s="14"/>
      <c r="BK793" s="14"/>
      <c r="BL793" s="14"/>
      <c r="BM793" s="14"/>
      <c r="BN793" s="14"/>
    </row>
    <row r="794" spans="1:66" ht="15" customHeight="1" x14ac:dyDescent="0.2">
      <c r="A794" s="1">
        <v>8907020407</v>
      </c>
      <c r="B794" s="1">
        <v>890702040</v>
      </c>
      <c r="C794" s="15">
        <v>211673616</v>
      </c>
      <c r="D794" s="16" t="s">
        <v>2236</v>
      </c>
      <c r="E794" s="41" t="s">
        <v>1962</v>
      </c>
      <c r="F794" s="28"/>
      <c r="G794" s="2"/>
      <c r="H794" s="3"/>
      <c r="I794" s="2"/>
      <c r="J794" s="29"/>
      <c r="K794" s="3"/>
      <c r="L794" s="2"/>
      <c r="M794" s="8"/>
      <c r="N794" s="3"/>
      <c r="O794" s="2"/>
      <c r="P794" s="3"/>
      <c r="Q794" s="2"/>
      <c r="R794" s="3"/>
      <c r="S794" s="3"/>
      <c r="T794" s="2"/>
      <c r="U794" s="8">
        <f t="shared" si="100"/>
        <v>0</v>
      </c>
      <c r="V794" s="8"/>
      <c r="W794" s="8"/>
      <c r="X794" s="8"/>
      <c r="Y794" s="8"/>
      <c r="Z794" s="8"/>
      <c r="AA794" s="8"/>
      <c r="AB794" s="8"/>
      <c r="AC794" s="8">
        <f t="shared" si="101"/>
        <v>0</v>
      </c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>
        <v>229988835</v>
      </c>
      <c r="AZ794" s="8"/>
      <c r="BA794" s="8">
        <f>VLOOKUP(B794,[1]Hoja3!J$3:K$674,2,0)</f>
        <v>408298324</v>
      </c>
      <c r="BB794" s="8"/>
      <c r="BC794" s="8">
        <f t="shared" si="102"/>
        <v>638287159</v>
      </c>
      <c r="BD794" s="4">
        <v>229988835</v>
      </c>
      <c r="BE794" s="4">
        <f t="shared" si="103"/>
        <v>408298324</v>
      </c>
      <c r="BF794" s="30">
        <f t="shared" si="104"/>
        <v>638287159</v>
      </c>
      <c r="BG794" s="18">
        <f t="shared" si="105"/>
        <v>0</v>
      </c>
      <c r="BH794" s="23"/>
      <c r="BI794" s="23"/>
      <c r="BJ794" s="23"/>
    </row>
    <row r="795" spans="1:66" ht="15" customHeight="1" x14ac:dyDescent="0.2">
      <c r="A795" s="1">
        <v>8919003579</v>
      </c>
      <c r="B795" s="1">
        <v>891900357</v>
      </c>
      <c r="C795" s="15">
        <v>211676616</v>
      </c>
      <c r="D795" s="16" t="s">
        <v>936</v>
      </c>
      <c r="E795" s="41" t="s">
        <v>1997</v>
      </c>
      <c r="F795" s="28"/>
      <c r="G795" s="2"/>
      <c r="H795" s="3"/>
      <c r="I795" s="2"/>
      <c r="J795" s="29"/>
      <c r="K795" s="3"/>
      <c r="L795" s="2"/>
      <c r="M795" s="8"/>
      <c r="N795" s="3"/>
      <c r="O795" s="2"/>
      <c r="P795" s="3"/>
      <c r="Q795" s="2"/>
      <c r="R795" s="3"/>
      <c r="S795" s="3"/>
      <c r="T795" s="2"/>
      <c r="U795" s="8">
        <f t="shared" si="100"/>
        <v>0</v>
      </c>
      <c r="V795" s="8"/>
      <c r="W795" s="8"/>
      <c r="X795" s="8"/>
      <c r="Y795" s="8"/>
      <c r="Z795" s="8"/>
      <c r="AA795" s="8"/>
      <c r="AB795" s="8"/>
      <c r="AC795" s="8">
        <f t="shared" si="101"/>
        <v>0</v>
      </c>
      <c r="AD795" s="8"/>
      <c r="AE795" s="8"/>
      <c r="AF795" s="8"/>
      <c r="AG795" s="8"/>
      <c r="AH795" s="8"/>
      <c r="AI795" s="8"/>
      <c r="AJ795" s="8"/>
      <c r="AK795" s="8"/>
      <c r="AL795" s="8"/>
      <c r="AM795" s="8">
        <v>41678857</v>
      </c>
      <c r="AN795" s="8">
        <f t="shared" ref="AN795:AN801" si="106">SUBTOTAL(9,AC795:AM795)</f>
        <v>41678857</v>
      </c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>
        <v>119865995</v>
      </c>
      <c r="AZ795" s="8"/>
      <c r="BA795" s="8">
        <f>VLOOKUP(B795,[1]Hoja3!J$3:K$674,2,0)</f>
        <v>196712907</v>
      </c>
      <c r="BB795" s="8"/>
      <c r="BC795" s="8">
        <f t="shared" si="102"/>
        <v>358257759</v>
      </c>
      <c r="BD795" s="4">
        <v>119865995</v>
      </c>
      <c r="BE795" s="4">
        <f t="shared" si="103"/>
        <v>238391764</v>
      </c>
      <c r="BF795" s="30">
        <f t="shared" si="104"/>
        <v>358257759</v>
      </c>
      <c r="BG795" s="18">
        <f t="shared" si="105"/>
        <v>0</v>
      </c>
      <c r="BH795" s="23"/>
      <c r="BI795" s="23"/>
      <c r="BJ795" s="23"/>
    </row>
    <row r="796" spans="1:66" ht="15" customHeight="1" x14ac:dyDescent="0.2">
      <c r="A796" s="1">
        <v>8921150072</v>
      </c>
      <c r="B796" s="48">
        <v>892115007</v>
      </c>
      <c r="C796" s="15">
        <v>210144001</v>
      </c>
      <c r="D796" s="16" t="s">
        <v>629</v>
      </c>
      <c r="E796" s="53" t="s">
        <v>1648</v>
      </c>
      <c r="F796" s="28"/>
      <c r="G796" s="2"/>
      <c r="H796" s="3"/>
      <c r="I796" s="39">
        <f>5633162434+99919222</f>
        <v>5733081656</v>
      </c>
      <c r="J796" s="29">
        <v>387499622</v>
      </c>
      <c r="K796" s="3">
        <v>782642742</v>
      </c>
      <c r="L796" s="2"/>
      <c r="M796" s="37">
        <f>SUM(F796:L796)</f>
        <v>6903224020</v>
      </c>
      <c r="N796" s="3"/>
      <c r="O796" s="2"/>
      <c r="P796" s="3"/>
      <c r="Q796" s="2">
        <f>6045831133+412669000+45417828</f>
        <v>6503917961</v>
      </c>
      <c r="R796" s="3">
        <v>387499622</v>
      </c>
      <c r="S796" s="3">
        <f>395143120+387499622</f>
        <v>782642742</v>
      </c>
      <c r="T796" s="2"/>
      <c r="U796" s="8">
        <f t="shared" si="100"/>
        <v>14577284345</v>
      </c>
      <c r="V796" s="8"/>
      <c r="W796" s="8"/>
      <c r="X796" s="8"/>
      <c r="Y796" s="8">
        <v>7141609856</v>
      </c>
      <c r="Z796" s="8">
        <v>313760966</v>
      </c>
      <c r="AA796" s="8">
        <v>725743015</v>
      </c>
      <c r="AB796" s="8"/>
      <c r="AC796" s="8">
        <f t="shared" si="101"/>
        <v>22758398182</v>
      </c>
      <c r="AD796" s="8"/>
      <c r="AE796" s="8"/>
      <c r="AF796" s="8"/>
      <c r="AG796" s="8"/>
      <c r="AH796" s="8">
        <v>8393705089</v>
      </c>
      <c r="AI796" s="8">
        <v>4126464822</v>
      </c>
      <c r="AJ796" s="8">
        <v>358688665</v>
      </c>
      <c r="AK796" s="8">
        <v>911078496</v>
      </c>
      <c r="AL796" s="8"/>
      <c r="AM796" s="8">
        <v>1337373601</v>
      </c>
      <c r="AN796" s="8">
        <f t="shared" si="106"/>
        <v>37885708855</v>
      </c>
      <c r="AO796" s="8"/>
      <c r="AP796" s="8"/>
      <c r="AQ796" s="8">
        <v>1807210080</v>
      </c>
      <c r="AR796" s="8"/>
      <c r="AS796" s="8"/>
      <c r="AT796" s="8">
        <v>7393705089</v>
      </c>
      <c r="AU796" s="8">
        <v>1507885330</v>
      </c>
      <c r="AV796" s="8">
        <v>358688665</v>
      </c>
      <c r="AW796" s="8">
        <v>619010796</v>
      </c>
      <c r="AX796" s="8"/>
      <c r="AY796" s="8"/>
      <c r="AZ796" s="8">
        <v>2556446723</v>
      </c>
      <c r="BA796" s="8">
        <f>VLOOKUP(B796,[1]Hoja3!J$3:K$674,2,0)</f>
        <v>559206514</v>
      </c>
      <c r="BB796" s="8">
        <f>VLOOKUP(B796,'[2]anuladas en mayo gratuidad}'!K$2:L$55,2,0)</f>
        <v>51660680</v>
      </c>
      <c r="BC796" s="8">
        <f t="shared" si="102"/>
        <v>52636201372</v>
      </c>
      <c r="BD796" s="4">
        <v>50791281937</v>
      </c>
      <c r="BE796" s="4">
        <f t="shared" si="103"/>
        <v>1844919435</v>
      </c>
      <c r="BF796" s="30">
        <f t="shared" si="104"/>
        <v>52636201372</v>
      </c>
      <c r="BG796" s="18">
        <f t="shared" si="105"/>
        <v>0</v>
      </c>
      <c r="BH796" s="23"/>
      <c r="BI796" s="23"/>
      <c r="BJ796" s="23"/>
    </row>
    <row r="797" spans="1:66" ht="15" customHeight="1" x14ac:dyDescent="0.2">
      <c r="A797" s="1">
        <v>8909073172</v>
      </c>
      <c r="B797" s="1">
        <v>890907317</v>
      </c>
      <c r="C797" s="15">
        <v>211505615</v>
      </c>
      <c r="D797" s="16" t="s">
        <v>123</v>
      </c>
      <c r="E797" s="53" t="s">
        <v>1152</v>
      </c>
      <c r="F797" s="28"/>
      <c r="G797" s="2"/>
      <c r="H797" s="3"/>
      <c r="I797" s="2">
        <f>2267352500+75473051</f>
        <v>2342825551</v>
      </c>
      <c r="J797" s="29">
        <v>176288063</v>
      </c>
      <c r="K797" s="3">
        <v>349487143</v>
      </c>
      <c r="L797" s="2"/>
      <c r="M797" s="37">
        <f>SUM(F797:L797)</f>
        <v>2868600757</v>
      </c>
      <c r="N797" s="3"/>
      <c r="O797" s="2"/>
      <c r="P797" s="3"/>
      <c r="Q797" s="2">
        <f>2170896735+34305932</f>
        <v>2205202667</v>
      </c>
      <c r="R797" s="3">
        <v>176288063</v>
      </c>
      <c r="S797" s="3">
        <f>173199080+176288063</f>
        <v>349487143</v>
      </c>
      <c r="T797" s="2"/>
      <c r="U797" s="8">
        <f t="shared" si="100"/>
        <v>5599578630</v>
      </c>
      <c r="V797" s="8"/>
      <c r="W797" s="8"/>
      <c r="X797" s="8"/>
      <c r="Y797" s="8">
        <v>3230635312</v>
      </c>
      <c r="Z797" s="8">
        <v>178224794</v>
      </c>
      <c r="AA797" s="8">
        <v>415710660</v>
      </c>
      <c r="AB797" s="8"/>
      <c r="AC797" s="8">
        <f t="shared" si="101"/>
        <v>9424149396</v>
      </c>
      <c r="AD797" s="8"/>
      <c r="AE797" s="8"/>
      <c r="AF797" s="8"/>
      <c r="AG797" s="8"/>
      <c r="AH797" s="8">
        <v>2338626446</v>
      </c>
      <c r="AI797" s="8">
        <v>567031049</v>
      </c>
      <c r="AJ797" s="8">
        <v>182281723</v>
      </c>
      <c r="AK797" s="8">
        <v>459491813</v>
      </c>
      <c r="AL797" s="8"/>
      <c r="AM797" s="8">
        <v>1353216035</v>
      </c>
      <c r="AN797" s="8">
        <f t="shared" si="106"/>
        <v>14324796462</v>
      </c>
      <c r="AO797" s="8"/>
      <c r="AP797" s="8"/>
      <c r="AQ797" s="8">
        <v>556552230</v>
      </c>
      <c r="AR797" s="8"/>
      <c r="AS797" s="8"/>
      <c r="AT797" s="8">
        <v>2338626446</v>
      </c>
      <c r="AU797" s="8"/>
      <c r="AV797" s="8">
        <v>182281723</v>
      </c>
      <c r="AW797" s="8">
        <v>311301295</v>
      </c>
      <c r="AX797" s="8"/>
      <c r="AY797" s="8"/>
      <c r="AZ797" s="8">
        <v>49288602</v>
      </c>
      <c r="BA797" s="8"/>
      <c r="BB797" s="8"/>
      <c r="BC797" s="8">
        <f t="shared" si="102"/>
        <v>17762846758</v>
      </c>
      <c r="BD797" s="4">
        <v>16409630723</v>
      </c>
      <c r="BE797" s="4">
        <f t="shared" si="103"/>
        <v>1353216035</v>
      </c>
      <c r="BF797" s="30">
        <f t="shared" si="104"/>
        <v>17762846758</v>
      </c>
      <c r="BG797" s="18">
        <f t="shared" si="105"/>
        <v>0</v>
      </c>
      <c r="BH797" s="23"/>
      <c r="BI797" s="23"/>
      <c r="BJ797" s="23"/>
    </row>
    <row r="798" spans="1:66" ht="15" customHeight="1" x14ac:dyDescent="0.2">
      <c r="A798" s="1">
        <v>8902046463</v>
      </c>
      <c r="B798" s="1">
        <v>890204646</v>
      </c>
      <c r="C798" s="15">
        <v>211568615</v>
      </c>
      <c r="D798" s="16" t="s">
        <v>871</v>
      </c>
      <c r="E798" s="41" t="s">
        <v>1884</v>
      </c>
      <c r="F798" s="28"/>
      <c r="G798" s="2"/>
      <c r="H798" s="3"/>
      <c r="I798" s="2"/>
      <c r="J798" s="29"/>
      <c r="K798" s="3"/>
      <c r="L798" s="2"/>
      <c r="M798" s="8"/>
      <c r="N798" s="3"/>
      <c r="O798" s="2"/>
      <c r="P798" s="3"/>
      <c r="Q798" s="2"/>
      <c r="R798" s="3"/>
      <c r="S798" s="3"/>
      <c r="T798" s="2"/>
      <c r="U798" s="8">
        <f t="shared" si="100"/>
        <v>0</v>
      </c>
      <c r="V798" s="8"/>
      <c r="W798" s="8"/>
      <c r="X798" s="8"/>
      <c r="Y798" s="8"/>
      <c r="Z798" s="8"/>
      <c r="AA798" s="8"/>
      <c r="AB798" s="8"/>
      <c r="AC798" s="8">
        <f t="shared" si="101"/>
        <v>0</v>
      </c>
      <c r="AD798" s="8"/>
      <c r="AE798" s="8"/>
      <c r="AF798" s="8"/>
      <c r="AG798" s="8"/>
      <c r="AH798" s="8"/>
      <c r="AI798" s="8"/>
      <c r="AJ798" s="8"/>
      <c r="AK798" s="8"/>
      <c r="AL798" s="8"/>
      <c r="AM798" s="8">
        <v>445430616</v>
      </c>
      <c r="AN798" s="8">
        <f t="shared" si="106"/>
        <v>445430616</v>
      </c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>
        <v>196703260</v>
      </c>
      <c r="AZ798" s="8"/>
      <c r="BA798" s="8"/>
      <c r="BB798" s="8"/>
      <c r="BC798" s="8">
        <f t="shared" si="102"/>
        <v>642133876</v>
      </c>
      <c r="BD798" s="4">
        <v>196703260</v>
      </c>
      <c r="BE798" s="4">
        <f t="shared" si="103"/>
        <v>445430616</v>
      </c>
      <c r="BF798" s="30">
        <f t="shared" si="104"/>
        <v>642133876</v>
      </c>
      <c r="BG798" s="18">
        <f t="shared" si="105"/>
        <v>0</v>
      </c>
      <c r="BH798" s="23"/>
      <c r="BI798" s="23"/>
      <c r="BJ798" s="23"/>
    </row>
    <row r="799" spans="1:66" ht="15" customHeight="1" x14ac:dyDescent="0.2">
      <c r="A799" s="1">
        <v>8908011384</v>
      </c>
      <c r="B799" s="1">
        <v>890801138</v>
      </c>
      <c r="C799" s="15">
        <v>211417614</v>
      </c>
      <c r="D799" s="16" t="s">
        <v>353</v>
      </c>
      <c r="E799" s="41" t="s">
        <v>1382</v>
      </c>
      <c r="F799" s="28"/>
      <c r="G799" s="2"/>
      <c r="H799" s="3"/>
      <c r="I799" s="2"/>
      <c r="J799" s="29"/>
      <c r="K799" s="3"/>
      <c r="L799" s="2"/>
      <c r="M799" s="8"/>
      <c r="N799" s="3"/>
      <c r="O799" s="2"/>
      <c r="P799" s="3"/>
      <c r="Q799" s="2"/>
      <c r="R799" s="3"/>
      <c r="S799" s="3"/>
      <c r="T799" s="2"/>
      <c r="U799" s="8">
        <f t="shared" si="100"/>
        <v>0</v>
      </c>
      <c r="V799" s="8"/>
      <c r="W799" s="8"/>
      <c r="X799" s="8"/>
      <c r="Y799" s="8"/>
      <c r="Z799" s="8"/>
      <c r="AA799" s="8"/>
      <c r="AB799" s="8"/>
      <c r="AC799" s="8">
        <f t="shared" si="101"/>
        <v>0</v>
      </c>
      <c r="AD799" s="8"/>
      <c r="AE799" s="8"/>
      <c r="AF799" s="8"/>
      <c r="AG799" s="8"/>
      <c r="AH799" s="8"/>
      <c r="AI799" s="8"/>
      <c r="AJ799" s="8"/>
      <c r="AK799" s="8"/>
      <c r="AL799" s="8"/>
      <c r="AM799" s="8">
        <v>725039184</v>
      </c>
      <c r="AN799" s="8">
        <f t="shared" si="106"/>
        <v>725039184</v>
      </c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>
        <v>356790225</v>
      </c>
      <c r="AZ799" s="8"/>
      <c r="BA799" s="8"/>
      <c r="BB799" s="8">
        <f>VLOOKUP(B799,'[2]anuladas en mayo gratuidad}'!K$2:L$55,2,0)</f>
        <v>106402871</v>
      </c>
      <c r="BC799" s="8">
        <f t="shared" si="102"/>
        <v>975426538</v>
      </c>
      <c r="BD799" s="4">
        <v>356790225</v>
      </c>
      <c r="BE799" s="4">
        <f t="shared" si="103"/>
        <v>618636313</v>
      </c>
      <c r="BF799" s="30">
        <f t="shared" si="104"/>
        <v>975426538</v>
      </c>
      <c r="BG799" s="18">
        <f t="shared" si="105"/>
        <v>0</v>
      </c>
      <c r="BH799" s="23"/>
      <c r="BI799" s="23"/>
      <c r="BJ799" s="23"/>
    </row>
    <row r="800" spans="1:66" ht="15" customHeight="1" x14ac:dyDescent="0.2">
      <c r="A800" s="1">
        <v>8000954611</v>
      </c>
      <c r="B800" s="1">
        <v>800095461</v>
      </c>
      <c r="C800" s="15">
        <v>211617616</v>
      </c>
      <c r="D800" s="16" t="s">
        <v>354</v>
      </c>
      <c r="E800" s="41" t="s">
        <v>1383</v>
      </c>
      <c r="F800" s="28"/>
      <c r="G800" s="2"/>
      <c r="H800" s="3"/>
      <c r="I800" s="2"/>
      <c r="J800" s="29"/>
      <c r="K800" s="3"/>
      <c r="L800" s="2"/>
      <c r="M800" s="8"/>
      <c r="N800" s="3"/>
      <c r="O800" s="2"/>
      <c r="P800" s="3"/>
      <c r="Q800" s="2"/>
      <c r="R800" s="3"/>
      <c r="S800" s="3"/>
      <c r="T800" s="2"/>
      <c r="U800" s="8">
        <f t="shared" si="100"/>
        <v>0</v>
      </c>
      <c r="V800" s="8"/>
      <c r="W800" s="8"/>
      <c r="X800" s="8"/>
      <c r="Y800" s="8"/>
      <c r="Z800" s="8"/>
      <c r="AA800" s="8"/>
      <c r="AB800" s="8"/>
      <c r="AC800" s="8">
        <f t="shared" si="101"/>
        <v>0</v>
      </c>
      <c r="AD800" s="8"/>
      <c r="AE800" s="8"/>
      <c r="AF800" s="8"/>
      <c r="AG800" s="8"/>
      <c r="AH800" s="8"/>
      <c r="AI800" s="8"/>
      <c r="AJ800" s="8"/>
      <c r="AK800" s="8"/>
      <c r="AL800" s="8"/>
      <c r="AM800" s="8">
        <v>155841599</v>
      </c>
      <c r="AN800" s="8">
        <f t="shared" si="106"/>
        <v>155841599</v>
      </c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>
        <v>74655405</v>
      </c>
      <c r="AZ800" s="8"/>
      <c r="BA800" s="8"/>
      <c r="BB800" s="8"/>
      <c r="BC800" s="8">
        <f t="shared" si="102"/>
        <v>230497004</v>
      </c>
      <c r="BD800" s="4">
        <v>74655405</v>
      </c>
      <c r="BE800" s="4">
        <f t="shared" si="103"/>
        <v>155841599</v>
      </c>
      <c r="BF800" s="30">
        <f t="shared" si="104"/>
        <v>230497004</v>
      </c>
      <c r="BG800" s="18">
        <f t="shared" si="105"/>
        <v>0</v>
      </c>
      <c r="BH800" s="23"/>
      <c r="BI800" s="23"/>
      <c r="BJ800" s="23"/>
    </row>
    <row r="801" spans="1:66" ht="15" customHeight="1" x14ac:dyDescent="0.2">
      <c r="A801" s="1">
        <v>8911800409</v>
      </c>
      <c r="B801" s="1">
        <v>891180040</v>
      </c>
      <c r="C801" s="15">
        <v>211541615</v>
      </c>
      <c r="D801" s="16" t="s">
        <v>617</v>
      </c>
      <c r="E801" s="41" t="s">
        <v>1637</v>
      </c>
      <c r="F801" s="28"/>
      <c r="G801" s="2"/>
      <c r="H801" s="3"/>
      <c r="I801" s="2"/>
      <c r="J801" s="29"/>
      <c r="K801" s="3"/>
      <c r="L801" s="2"/>
      <c r="M801" s="8"/>
      <c r="N801" s="3"/>
      <c r="O801" s="2"/>
      <c r="P801" s="3"/>
      <c r="Q801" s="2"/>
      <c r="R801" s="3"/>
      <c r="S801" s="3"/>
      <c r="T801" s="2"/>
      <c r="U801" s="8">
        <f t="shared" si="100"/>
        <v>0</v>
      </c>
      <c r="V801" s="8"/>
      <c r="W801" s="8"/>
      <c r="X801" s="8"/>
      <c r="Y801" s="8"/>
      <c r="Z801" s="8"/>
      <c r="AA801" s="8"/>
      <c r="AB801" s="8"/>
      <c r="AC801" s="8">
        <f t="shared" si="101"/>
        <v>0</v>
      </c>
      <c r="AD801" s="8"/>
      <c r="AE801" s="8"/>
      <c r="AF801" s="8"/>
      <c r="AG801" s="8"/>
      <c r="AH801" s="8"/>
      <c r="AI801" s="8"/>
      <c r="AJ801" s="8"/>
      <c r="AK801" s="8"/>
      <c r="AL801" s="8"/>
      <c r="AM801" s="8">
        <v>209992279</v>
      </c>
      <c r="AN801" s="8">
        <f t="shared" si="106"/>
        <v>209992279</v>
      </c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>
        <v>128004360</v>
      </c>
      <c r="AZ801" s="8"/>
      <c r="BA801" s="8">
        <f>VLOOKUP(B801,[1]Hoja3!J$3:K$674,2,0)</f>
        <v>121709835</v>
      </c>
      <c r="BB801" s="8"/>
      <c r="BC801" s="8">
        <f t="shared" si="102"/>
        <v>459706474</v>
      </c>
      <c r="BD801" s="4">
        <v>128004360</v>
      </c>
      <c r="BE801" s="4">
        <f t="shared" si="103"/>
        <v>331702114</v>
      </c>
      <c r="BF801" s="30">
        <f t="shared" si="104"/>
        <v>459706474</v>
      </c>
      <c r="BG801" s="18">
        <f t="shared" si="105"/>
        <v>0</v>
      </c>
      <c r="BH801" s="23"/>
      <c r="BI801" s="23"/>
      <c r="BJ801" s="23"/>
    </row>
    <row r="802" spans="1:66" ht="15" customHeight="1" x14ac:dyDescent="0.2">
      <c r="A802" s="1">
        <v>8000991321</v>
      </c>
      <c r="B802" s="1">
        <v>800099132</v>
      </c>
      <c r="C802" s="15">
        <v>212152621</v>
      </c>
      <c r="D802" s="16" t="s">
        <v>737</v>
      </c>
      <c r="E802" s="41" t="s">
        <v>1760</v>
      </c>
      <c r="F802" s="28"/>
      <c r="G802" s="2"/>
      <c r="H802" s="3"/>
      <c r="I802" s="2"/>
      <c r="J802" s="29"/>
      <c r="K802" s="3"/>
      <c r="L802" s="2"/>
      <c r="M802" s="8"/>
      <c r="N802" s="3"/>
      <c r="O802" s="2"/>
      <c r="P802" s="3"/>
      <c r="Q802" s="2"/>
      <c r="R802" s="3"/>
      <c r="S802" s="3"/>
      <c r="T802" s="2"/>
      <c r="U802" s="8">
        <f t="shared" si="100"/>
        <v>0</v>
      </c>
      <c r="V802" s="8"/>
      <c r="W802" s="8"/>
      <c r="X802" s="8"/>
      <c r="Y802" s="8"/>
      <c r="Z802" s="8"/>
      <c r="AA802" s="8"/>
      <c r="AB802" s="8"/>
      <c r="AC802" s="8">
        <f t="shared" si="101"/>
        <v>0</v>
      </c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>
        <v>228086070</v>
      </c>
      <c r="AZ802" s="8"/>
      <c r="BA802" s="8">
        <f>VLOOKUP(B802,[1]Hoja3!J$3:K$674,2,0)</f>
        <v>286924608</v>
      </c>
      <c r="BB802" s="8"/>
      <c r="BC802" s="8">
        <f t="shared" si="102"/>
        <v>515010678</v>
      </c>
      <c r="BD802" s="4">
        <v>228086070</v>
      </c>
      <c r="BE802" s="4">
        <f t="shared" si="103"/>
        <v>286924608</v>
      </c>
      <c r="BF802" s="30">
        <f t="shared" si="104"/>
        <v>515010678</v>
      </c>
      <c r="BG802" s="18">
        <f t="shared" si="105"/>
        <v>0</v>
      </c>
      <c r="BH802" s="23"/>
      <c r="BI802" s="23"/>
      <c r="BJ802" s="23"/>
    </row>
    <row r="803" spans="1:66" ht="15" customHeight="1" x14ac:dyDescent="0.2">
      <c r="A803" s="1">
        <v>8919002896</v>
      </c>
      <c r="B803" s="1">
        <v>891900289</v>
      </c>
      <c r="C803" s="15">
        <v>212276622</v>
      </c>
      <c r="D803" s="16" t="s">
        <v>937</v>
      </c>
      <c r="E803" s="41" t="s">
        <v>1998</v>
      </c>
      <c r="F803" s="28"/>
      <c r="G803" s="2"/>
      <c r="H803" s="3"/>
      <c r="I803" s="2"/>
      <c r="J803" s="29"/>
      <c r="K803" s="3"/>
      <c r="L803" s="2"/>
      <c r="M803" s="8"/>
      <c r="N803" s="3"/>
      <c r="O803" s="2"/>
      <c r="P803" s="3"/>
      <c r="Q803" s="2"/>
      <c r="R803" s="3"/>
      <c r="S803" s="3"/>
      <c r="T803" s="2"/>
      <c r="U803" s="8">
        <f t="shared" si="100"/>
        <v>0</v>
      </c>
      <c r="V803" s="8"/>
      <c r="W803" s="8"/>
      <c r="X803" s="8"/>
      <c r="Y803" s="8"/>
      <c r="Z803" s="8"/>
      <c r="AA803" s="8"/>
      <c r="AB803" s="8"/>
      <c r="AC803" s="8">
        <f t="shared" si="101"/>
        <v>0</v>
      </c>
      <c r="AD803" s="8"/>
      <c r="AE803" s="8"/>
      <c r="AF803" s="8"/>
      <c r="AG803" s="8"/>
      <c r="AH803" s="8"/>
      <c r="AI803" s="8"/>
      <c r="AJ803" s="8"/>
      <c r="AK803" s="8"/>
      <c r="AL803" s="8"/>
      <c r="AM803" s="8">
        <v>205223314</v>
      </c>
      <c r="AN803" s="8">
        <f>SUBTOTAL(9,AC803:AM803)</f>
        <v>205223314</v>
      </c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>
        <v>233646910</v>
      </c>
      <c r="AZ803" s="8"/>
      <c r="BA803" s="8">
        <f>VLOOKUP(B803,[1]Hoja3!J$3:K$674,2,0)</f>
        <v>202069003</v>
      </c>
      <c r="BB803" s="8"/>
      <c r="BC803" s="8">
        <f t="shared" si="102"/>
        <v>640939227</v>
      </c>
      <c r="BD803" s="4">
        <v>233646910</v>
      </c>
      <c r="BE803" s="4">
        <f t="shared" si="103"/>
        <v>407292317</v>
      </c>
      <c r="BF803" s="30">
        <f t="shared" si="104"/>
        <v>640939227</v>
      </c>
      <c r="BG803" s="18">
        <f t="shared" si="105"/>
        <v>0</v>
      </c>
      <c r="BH803" s="23"/>
      <c r="BI803" s="23"/>
      <c r="BJ803" s="23"/>
    </row>
    <row r="804" spans="1:66" ht="15" customHeight="1" x14ac:dyDescent="0.2">
      <c r="A804" s="1">
        <v>8907009118</v>
      </c>
      <c r="B804" s="1">
        <v>890700911</v>
      </c>
      <c r="C804" s="15">
        <v>212273622</v>
      </c>
      <c r="D804" s="16" t="s">
        <v>2237</v>
      </c>
      <c r="E804" s="41" t="s">
        <v>1963</v>
      </c>
      <c r="F804" s="28"/>
      <c r="G804" s="2"/>
      <c r="H804" s="3"/>
      <c r="I804" s="2"/>
      <c r="J804" s="29"/>
      <c r="K804" s="3"/>
      <c r="L804" s="2"/>
      <c r="M804" s="8"/>
      <c r="N804" s="3"/>
      <c r="O804" s="2"/>
      <c r="P804" s="3"/>
      <c r="Q804" s="2"/>
      <c r="R804" s="3"/>
      <c r="S804" s="3"/>
      <c r="T804" s="2"/>
      <c r="U804" s="8">
        <f t="shared" si="100"/>
        <v>0</v>
      </c>
      <c r="V804" s="8"/>
      <c r="W804" s="8"/>
      <c r="X804" s="8"/>
      <c r="Y804" s="8"/>
      <c r="Z804" s="8"/>
      <c r="AA804" s="8"/>
      <c r="AB804" s="8"/>
      <c r="AC804" s="8">
        <f t="shared" si="101"/>
        <v>0</v>
      </c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>
        <v>43022720</v>
      </c>
      <c r="AZ804" s="8"/>
      <c r="BA804" s="8">
        <f>VLOOKUP(B804,[1]Hoja3!J$3:K$674,2,0)</f>
        <v>114618688</v>
      </c>
      <c r="BB804" s="8"/>
      <c r="BC804" s="8">
        <f t="shared" si="102"/>
        <v>157641408</v>
      </c>
      <c r="BD804" s="4">
        <v>43022720</v>
      </c>
      <c r="BE804" s="4">
        <f t="shared" si="103"/>
        <v>114618688</v>
      </c>
      <c r="BF804" s="30">
        <f t="shared" si="104"/>
        <v>157641408</v>
      </c>
      <c r="BG804" s="18">
        <f t="shared" si="105"/>
        <v>0</v>
      </c>
      <c r="BH804" s="23"/>
      <c r="BI804" s="23"/>
      <c r="BJ804" s="23"/>
    </row>
    <row r="805" spans="1:66" ht="15" customHeight="1" x14ac:dyDescent="0.2">
      <c r="A805" s="1">
        <v>8918017703</v>
      </c>
      <c r="B805" s="1">
        <v>891801770</v>
      </c>
      <c r="C805" s="15">
        <v>212115621</v>
      </c>
      <c r="D805" s="16" t="s">
        <v>292</v>
      </c>
      <c r="E805" s="41" t="s">
        <v>1323</v>
      </c>
      <c r="F805" s="28"/>
      <c r="G805" s="17"/>
      <c r="H805" s="3"/>
      <c r="I805" s="2"/>
      <c r="J805" s="29"/>
      <c r="K805" s="3"/>
      <c r="L805" s="17"/>
      <c r="M805" s="34"/>
      <c r="N805" s="3"/>
      <c r="O805" s="17"/>
      <c r="P805" s="3"/>
      <c r="Q805" s="2"/>
      <c r="R805" s="3"/>
      <c r="S805" s="3"/>
      <c r="T805" s="17"/>
      <c r="U805" s="8">
        <f t="shared" si="100"/>
        <v>0</v>
      </c>
      <c r="V805" s="8"/>
      <c r="W805" s="8"/>
      <c r="X805" s="8"/>
      <c r="Y805" s="8"/>
      <c r="Z805" s="8"/>
      <c r="AA805" s="8"/>
      <c r="AB805" s="8"/>
      <c r="AC805" s="8">
        <f t="shared" si="101"/>
        <v>0</v>
      </c>
      <c r="AD805" s="8"/>
      <c r="AE805" s="8"/>
      <c r="AF805" s="8"/>
      <c r="AG805" s="8"/>
      <c r="AH805" s="8"/>
      <c r="AI805" s="8"/>
      <c r="AJ805" s="8"/>
      <c r="AK805" s="8"/>
      <c r="AL805" s="8"/>
      <c r="AM805" s="8">
        <v>25486181</v>
      </c>
      <c r="AN805" s="8">
        <f t="shared" ref="AN805:AN811" si="107">SUBTOTAL(9,AC805:AM805)</f>
        <v>25486181</v>
      </c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>
        <f>VLOOKUP(B805,[1]Hoja3!J$3:K$674,2,0)</f>
        <v>17314675</v>
      </c>
      <c r="BB805" s="8"/>
      <c r="BC805" s="8">
        <f t="shared" si="102"/>
        <v>42800856</v>
      </c>
      <c r="BD805" s="4"/>
      <c r="BE805" s="4">
        <f t="shared" si="103"/>
        <v>42800856</v>
      </c>
      <c r="BF805" s="30">
        <f t="shared" si="104"/>
        <v>42800856</v>
      </c>
      <c r="BG805" s="18">
        <f t="shared" si="105"/>
        <v>0</v>
      </c>
      <c r="BH805" s="23"/>
      <c r="BI805" s="14"/>
      <c r="BJ805" s="14"/>
      <c r="BK805" s="14"/>
      <c r="BL805" s="14"/>
      <c r="BM805" s="14"/>
      <c r="BN805" s="14"/>
    </row>
    <row r="806" spans="1:66" ht="15" customHeight="1" x14ac:dyDescent="0.2">
      <c r="A806" s="1">
        <v>8000959834</v>
      </c>
      <c r="B806" s="1">
        <v>800095983</v>
      </c>
      <c r="C806" s="15">
        <v>212219622</v>
      </c>
      <c r="D806" s="16" t="s">
        <v>401</v>
      </c>
      <c r="E806" s="41" t="s">
        <v>1429</v>
      </c>
      <c r="F806" s="28"/>
      <c r="G806" s="2"/>
      <c r="H806" s="3"/>
      <c r="I806" s="2"/>
      <c r="J806" s="29"/>
      <c r="K806" s="3"/>
      <c r="L806" s="2"/>
      <c r="M806" s="8"/>
      <c r="N806" s="3"/>
      <c r="O806" s="2"/>
      <c r="P806" s="3"/>
      <c r="Q806" s="2"/>
      <c r="R806" s="3"/>
      <c r="S806" s="3"/>
      <c r="T806" s="2"/>
      <c r="U806" s="8">
        <f t="shared" si="100"/>
        <v>0</v>
      </c>
      <c r="V806" s="8"/>
      <c r="W806" s="8"/>
      <c r="X806" s="8"/>
      <c r="Y806" s="8"/>
      <c r="Z806" s="8"/>
      <c r="AA806" s="8"/>
      <c r="AB806" s="8"/>
      <c r="AC806" s="8">
        <f t="shared" si="101"/>
        <v>0</v>
      </c>
      <c r="AD806" s="8"/>
      <c r="AE806" s="8"/>
      <c r="AF806" s="8"/>
      <c r="AG806" s="8"/>
      <c r="AH806" s="8"/>
      <c r="AI806" s="8"/>
      <c r="AJ806" s="8"/>
      <c r="AK806" s="8"/>
      <c r="AL806" s="8"/>
      <c r="AM806" s="8">
        <v>99232863</v>
      </c>
      <c r="AN806" s="8">
        <f t="shared" si="107"/>
        <v>99232863</v>
      </c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>
        <v>82506380</v>
      </c>
      <c r="AZ806" s="8"/>
      <c r="BA806" s="8">
        <f>VLOOKUP(B806,[1]Hoja3!J$3:K$674,2,0)</f>
        <v>40860058</v>
      </c>
      <c r="BB806" s="8"/>
      <c r="BC806" s="8">
        <f t="shared" si="102"/>
        <v>222599301</v>
      </c>
      <c r="BD806" s="4">
        <v>82506380</v>
      </c>
      <c r="BE806" s="4">
        <f t="shared" si="103"/>
        <v>140092921</v>
      </c>
      <c r="BF806" s="30">
        <f t="shared" si="104"/>
        <v>222599301</v>
      </c>
      <c r="BG806" s="18">
        <f t="shared" si="105"/>
        <v>0</v>
      </c>
      <c r="BH806" s="23"/>
      <c r="BI806" s="23"/>
      <c r="BJ806" s="23"/>
    </row>
    <row r="807" spans="1:66" ht="15" customHeight="1" x14ac:dyDescent="0.2">
      <c r="A807" s="1">
        <v>8001001389</v>
      </c>
      <c r="B807" s="1">
        <v>800100138</v>
      </c>
      <c r="C807" s="15">
        <v>212473624</v>
      </c>
      <c r="D807" s="16" t="s">
        <v>2248</v>
      </c>
      <c r="E807" s="41" t="s">
        <v>1964</v>
      </c>
      <c r="F807" s="28"/>
      <c r="G807" s="2"/>
      <c r="H807" s="3"/>
      <c r="I807" s="2"/>
      <c r="J807" s="29"/>
      <c r="K807" s="3"/>
      <c r="L807" s="2"/>
      <c r="M807" s="8"/>
      <c r="N807" s="3"/>
      <c r="O807" s="2"/>
      <c r="P807" s="3"/>
      <c r="Q807" s="2"/>
      <c r="R807" s="3"/>
      <c r="S807" s="3"/>
      <c r="T807" s="2"/>
      <c r="U807" s="8">
        <f t="shared" si="100"/>
        <v>0</v>
      </c>
      <c r="V807" s="8"/>
      <c r="W807" s="8"/>
      <c r="X807" s="8"/>
      <c r="Y807" s="8"/>
      <c r="Z807" s="8"/>
      <c r="AA807" s="8"/>
      <c r="AB807" s="8"/>
      <c r="AC807" s="8">
        <f t="shared" si="101"/>
        <v>0</v>
      </c>
      <c r="AD807" s="8"/>
      <c r="AE807" s="8"/>
      <c r="AF807" s="8"/>
      <c r="AG807" s="8"/>
      <c r="AH807" s="8"/>
      <c r="AI807" s="8"/>
      <c r="AJ807" s="8"/>
      <c r="AK807" s="8"/>
      <c r="AL807" s="8"/>
      <c r="AM807" s="8">
        <v>238682896</v>
      </c>
      <c r="AN807" s="8">
        <f t="shared" si="107"/>
        <v>238682896</v>
      </c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>
        <v>204865620</v>
      </c>
      <c r="AZ807" s="8"/>
      <c r="BA807" s="8">
        <f>VLOOKUP(B807,[1]Hoja3!J$3:K$674,2,0)</f>
        <v>214434192</v>
      </c>
      <c r="BB807" s="8"/>
      <c r="BC807" s="8">
        <f t="shared" si="102"/>
        <v>657982708</v>
      </c>
      <c r="BD807" s="4">
        <v>204865620</v>
      </c>
      <c r="BE807" s="4">
        <f t="shared" si="103"/>
        <v>453117088</v>
      </c>
      <c r="BF807" s="30">
        <f t="shared" si="104"/>
        <v>657982708</v>
      </c>
      <c r="BG807" s="18">
        <f t="shared" si="105"/>
        <v>0</v>
      </c>
      <c r="BH807" s="23"/>
      <c r="BI807" s="23"/>
      <c r="BJ807" s="23"/>
    </row>
    <row r="808" spans="1:66" ht="15" customHeight="1" x14ac:dyDescent="0.2">
      <c r="A808" s="1">
        <v>8000371752</v>
      </c>
      <c r="B808" s="1">
        <v>800037175</v>
      </c>
      <c r="C808" s="15">
        <v>215713657</v>
      </c>
      <c r="D808" s="16" t="s">
        <v>2161</v>
      </c>
      <c r="E808" s="41" t="s">
        <v>1238</v>
      </c>
      <c r="F808" s="28"/>
      <c r="G808" s="17"/>
      <c r="H808" s="3"/>
      <c r="I808" s="2"/>
      <c r="J808" s="29"/>
      <c r="K808" s="3"/>
      <c r="L808" s="17"/>
      <c r="M808" s="34"/>
      <c r="N808" s="3"/>
      <c r="O808" s="17"/>
      <c r="P808" s="3"/>
      <c r="Q808" s="2"/>
      <c r="R808" s="3"/>
      <c r="S808" s="3"/>
      <c r="T808" s="17"/>
      <c r="U808" s="8">
        <f t="shared" si="100"/>
        <v>0</v>
      </c>
      <c r="V808" s="8"/>
      <c r="W808" s="8"/>
      <c r="X808" s="8"/>
      <c r="Y808" s="8"/>
      <c r="Z808" s="8"/>
      <c r="AA808" s="8"/>
      <c r="AB808" s="8"/>
      <c r="AC808" s="8">
        <f t="shared" si="101"/>
        <v>0</v>
      </c>
      <c r="AD808" s="8"/>
      <c r="AE808" s="8"/>
      <c r="AF808" s="8"/>
      <c r="AG808" s="8"/>
      <c r="AH808" s="8"/>
      <c r="AI808" s="8"/>
      <c r="AJ808" s="8"/>
      <c r="AK808" s="8"/>
      <c r="AL808" s="8"/>
      <c r="AM808" s="8">
        <v>125628349</v>
      </c>
      <c r="AN808" s="8">
        <f t="shared" si="107"/>
        <v>125628349</v>
      </c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>
        <v>388101425</v>
      </c>
      <c r="AZ808" s="8"/>
      <c r="BA808" s="8">
        <f>VLOOKUP(B808,[1]Hoja3!J$3:K$674,2,0)</f>
        <v>445004036</v>
      </c>
      <c r="BB808" s="8"/>
      <c r="BC808" s="8">
        <f t="shared" si="102"/>
        <v>958733810</v>
      </c>
      <c r="BD808" s="4">
        <v>388101425</v>
      </c>
      <c r="BE808" s="4">
        <f t="shared" si="103"/>
        <v>570632385</v>
      </c>
      <c r="BF808" s="30">
        <f t="shared" si="104"/>
        <v>958733810</v>
      </c>
      <c r="BG808" s="18">
        <f t="shared" si="105"/>
        <v>0</v>
      </c>
      <c r="BH808" s="23"/>
      <c r="BI808" s="14"/>
      <c r="BJ808" s="14"/>
      <c r="BK808" s="14"/>
      <c r="BL808" s="14"/>
      <c r="BM808" s="14"/>
      <c r="BN808" s="14"/>
    </row>
    <row r="809" spans="1:66" ht="15" customHeight="1" x14ac:dyDescent="0.2">
      <c r="A809" s="1">
        <v>8000434862</v>
      </c>
      <c r="B809" s="1">
        <v>800043486</v>
      </c>
      <c r="C809" s="15">
        <v>216713667</v>
      </c>
      <c r="D809" s="16" t="s">
        <v>2162</v>
      </c>
      <c r="E809" s="41" t="s">
        <v>1239</v>
      </c>
      <c r="F809" s="28"/>
      <c r="G809" s="17"/>
      <c r="H809" s="3"/>
      <c r="I809" s="2"/>
      <c r="J809" s="29"/>
      <c r="K809" s="3"/>
      <c r="L809" s="17"/>
      <c r="M809" s="34"/>
      <c r="N809" s="3"/>
      <c r="O809" s="17"/>
      <c r="P809" s="3"/>
      <c r="Q809" s="2"/>
      <c r="R809" s="3"/>
      <c r="S809" s="3"/>
      <c r="T809" s="17"/>
      <c r="U809" s="8">
        <f t="shared" si="100"/>
        <v>0</v>
      </c>
      <c r="V809" s="8"/>
      <c r="W809" s="8"/>
      <c r="X809" s="8"/>
      <c r="Y809" s="8"/>
      <c r="Z809" s="8"/>
      <c r="AA809" s="8"/>
      <c r="AB809" s="8"/>
      <c r="AC809" s="8">
        <f t="shared" si="101"/>
        <v>0</v>
      </c>
      <c r="AD809" s="8"/>
      <c r="AE809" s="8"/>
      <c r="AF809" s="8"/>
      <c r="AG809" s="8"/>
      <c r="AH809" s="8"/>
      <c r="AI809" s="8"/>
      <c r="AJ809" s="8"/>
      <c r="AK809" s="8"/>
      <c r="AL809" s="8"/>
      <c r="AM809" s="8">
        <v>158863000</v>
      </c>
      <c r="AN809" s="8">
        <f t="shared" si="107"/>
        <v>158863000</v>
      </c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>
        <f>VLOOKUP(B809,[1]Hoja3!J$3:K$674,2,0)</f>
        <v>179939579</v>
      </c>
      <c r="BB809" s="8"/>
      <c r="BC809" s="8">
        <f t="shared" si="102"/>
        <v>338802579</v>
      </c>
      <c r="BD809" s="4"/>
      <c r="BE809" s="4">
        <f t="shared" si="103"/>
        <v>338802579</v>
      </c>
      <c r="BF809" s="30">
        <f t="shared" si="104"/>
        <v>338802579</v>
      </c>
      <c r="BG809" s="18">
        <f t="shared" si="105"/>
        <v>0</v>
      </c>
      <c r="BH809" s="23"/>
      <c r="BI809" s="14"/>
      <c r="BJ809" s="14"/>
      <c r="BK809" s="14"/>
      <c r="BL809" s="14"/>
      <c r="BM809" s="14"/>
      <c r="BN809" s="14"/>
    </row>
    <row r="810" spans="1:66" ht="15" customHeight="1" x14ac:dyDescent="0.2">
      <c r="A810" s="1">
        <v>8902046431</v>
      </c>
      <c r="B810" s="1">
        <v>890204643</v>
      </c>
      <c r="C810" s="15">
        <v>215568655</v>
      </c>
      <c r="D810" s="16" t="s">
        <v>872</v>
      </c>
      <c r="E810" s="41" t="s">
        <v>1885</v>
      </c>
      <c r="F810" s="28"/>
      <c r="G810" s="2"/>
      <c r="H810" s="3"/>
      <c r="I810" s="2"/>
      <c r="J810" s="29"/>
      <c r="K810" s="3"/>
      <c r="L810" s="2"/>
      <c r="M810" s="8"/>
      <c r="N810" s="3"/>
      <c r="O810" s="2"/>
      <c r="P810" s="3"/>
      <c r="Q810" s="2"/>
      <c r="R810" s="3"/>
      <c r="S810" s="3"/>
      <c r="T810" s="2"/>
      <c r="U810" s="8">
        <f t="shared" si="100"/>
        <v>0</v>
      </c>
      <c r="V810" s="8"/>
      <c r="W810" s="8"/>
      <c r="X810" s="8"/>
      <c r="Y810" s="8"/>
      <c r="Z810" s="8"/>
      <c r="AA810" s="8"/>
      <c r="AB810" s="8"/>
      <c r="AC810" s="8">
        <f t="shared" si="101"/>
        <v>0</v>
      </c>
      <c r="AD810" s="8"/>
      <c r="AE810" s="8"/>
      <c r="AF810" s="8"/>
      <c r="AG810" s="8"/>
      <c r="AH810" s="8"/>
      <c r="AI810" s="8"/>
      <c r="AJ810" s="8"/>
      <c r="AK810" s="8"/>
      <c r="AL810" s="8"/>
      <c r="AM810" s="8">
        <v>268112376</v>
      </c>
      <c r="AN810" s="8">
        <f t="shared" si="107"/>
        <v>268112376</v>
      </c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>
        <v>199687195</v>
      </c>
      <c r="AZ810" s="8"/>
      <c r="BA810" s="8">
        <f>VLOOKUP(B810,[1]Hoja3!J$3:K$674,2,0)</f>
        <v>229609924</v>
      </c>
      <c r="BB810" s="8"/>
      <c r="BC810" s="8">
        <f t="shared" si="102"/>
        <v>697409495</v>
      </c>
      <c r="BD810" s="4">
        <v>199687195</v>
      </c>
      <c r="BE810" s="4">
        <f t="shared" si="103"/>
        <v>497722300</v>
      </c>
      <c r="BF810" s="30">
        <f t="shared" si="104"/>
        <v>697409495</v>
      </c>
      <c r="BG810" s="18">
        <f t="shared" si="105"/>
        <v>0</v>
      </c>
      <c r="BH810" s="23"/>
      <c r="BI810" s="23"/>
      <c r="BJ810" s="23"/>
    </row>
    <row r="811" spans="1:66" ht="15" customHeight="1" x14ac:dyDescent="0.2">
      <c r="A811" s="1">
        <v>8901159821</v>
      </c>
      <c r="B811" s="1">
        <v>890115982</v>
      </c>
      <c r="C811" s="15">
        <v>213408634</v>
      </c>
      <c r="D811" s="16" t="s">
        <v>174</v>
      </c>
      <c r="E811" s="41" t="s">
        <v>1203</v>
      </c>
      <c r="F811" s="28"/>
      <c r="G811" s="2"/>
      <c r="H811" s="3"/>
      <c r="I811" s="2"/>
      <c r="J811" s="29"/>
      <c r="K811" s="3"/>
      <c r="L811" s="2"/>
      <c r="M811" s="8"/>
      <c r="N811" s="3"/>
      <c r="O811" s="2"/>
      <c r="P811" s="3"/>
      <c r="Q811" s="2"/>
      <c r="R811" s="3"/>
      <c r="S811" s="3"/>
      <c r="T811" s="2"/>
      <c r="U811" s="8">
        <f t="shared" si="100"/>
        <v>0</v>
      </c>
      <c r="V811" s="8"/>
      <c r="W811" s="8"/>
      <c r="X811" s="8"/>
      <c r="Y811" s="8"/>
      <c r="Z811" s="8"/>
      <c r="AA811" s="8"/>
      <c r="AB811" s="8"/>
      <c r="AC811" s="8">
        <f t="shared" si="101"/>
        <v>0</v>
      </c>
      <c r="AD811" s="8"/>
      <c r="AE811" s="8"/>
      <c r="AF811" s="8"/>
      <c r="AG811" s="8"/>
      <c r="AH811" s="8"/>
      <c r="AI811" s="8"/>
      <c r="AJ811" s="8"/>
      <c r="AK811" s="8"/>
      <c r="AL811" s="8"/>
      <c r="AM811" s="8">
        <v>229148245</v>
      </c>
      <c r="AN811" s="8">
        <f t="shared" si="107"/>
        <v>229148245</v>
      </c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>
        <v>209406100</v>
      </c>
      <c r="AZ811" s="8"/>
      <c r="BA811" s="8">
        <f>VLOOKUP(B811,[1]Hoja3!J$3:K$674,2,0)</f>
        <v>102557394</v>
      </c>
      <c r="BB811" s="8"/>
      <c r="BC811" s="8">
        <f t="shared" si="102"/>
        <v>541111739</v>
      </c>
      <c r="BD811" s="4">
        <v>209406100</v>
      </c>
      <c r="BE811" s="4">
        <f t="shared" si="103"/>
        <v>331705639</v>
      </c>
      <c r="BF811" s="30">
        <f t="shared" si="104"/>
        <v>541111739</v>
      </c>
      <c r="BG811" s="18">
        <f t="shared" si="105"/>
        <v>0</v>
      </c>
      <c r="BH811" s="23"/>
      <c r="BI811" s="23"/>
      <c r="BJ811" s="23"/>
    </row>
    <row r="812" spans="1:66" ht="15" customHeight="1" x14ac:dyDescent="0.2">
      <c r="A812" s="1">
        <v>8909837369</v>
      </c>
      <c r="B812" s="1">
        <v>890983736</v>
      </c>
      <c r="C812" s="15">
        <v>212805628</v>
      </c>
      <c r="D812" s="16" t="s">
        <v>124</v>
      </c>
      <c r="E812" s="41" t="s">
        <v>1153</v>
      </c>
      <c r="F812" s="28"/>
      <c r="G812" s="2"/>
      <c r="H812" s="3"/>
      <c r="I812" s="2"/>
      <c r="J812" s="29"/>
      <c r="K812" s="3"/>
      <c r="L812" s="2"/>
      <c r="M812" s="8"/>
      <c r="N812" s="3"/>
      <c r="O812" s="2"/>
      <c r="P812" s="3"/>
      <c r="Q812" s="2"/>
      <c r="R812" s="3"/>
      <c r="S812" s="3"/>
      <c r="T812" s="2"/>
      <c r="U812" s="8">
        <f t="shared" si="100"/>
        <v>0</v>
      </c>
      <c r="V812" s="8"/>
      <c r="W812" s="8"/>
      <c r="X812" s="8"/>
      <c r="Y812" s="8"/>
      <c r="Z812" s="8"/>
      <c r="AA812" s="8"/>
      <c r="AB812" s="8"/>
      <c r="AC812" s="8">
        <f t="shared" si="101"/>
        <v>0</v>
      </c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>
        <v>75178600</v>
      </c>
      <c r="AZ812" s="8"/>
      <c r="BA812" s="8">
        <f>VLOOKUP(B812,[1]Hoja3!J$3:K$674,2,0)</f>
        <v>130154951</v>
      </c>
      <c r="BB812" s="8"/>
      <c r="BC812" s="8">
        <f t="shared" si="102"/>
        <v>205333551</v>
      </c>
      <c r="BD812" s="4">
        <v>75178600</v>
      </c>
      <c r="BE812" s="4">
        <f t="shared" si="103"/>
        <v>130154951</v>
      </c>
      <c r="BF812" s="30">
        <f t="shared" si="104"/>
        <v>205333551</v>
      </c>
      <c r="BG812" s="18">
        <f t="shared" si="105"/>
        <v>0</v>
      </c>
      <c r="BH812" s="23"/>
      <c r="BI812" s="23"/>
      <c r="BJ812" s="23"/>
    </row>
    <row r="813" spans="1:66" ht="15" customHeight="1" x14ac:dyDescent="0.2">
      <c r="A813" s="1">
        <v>8000948444</v>
      </c>
      <c r="B813" s="1">
        <v>800094844</v>
      </c>
      <c r="C813" s="15">
        <v>213808638</v>
      </c>
      <c r="D813" s="16" t="s">
        <v>175</v>
      </c>
      <c r="E813" s="41" t="s">
        <v>1204</v>
      </c>
      <c r="F813" s="28"/>
      <c r="G813" s="2"/>
      <c r="H813" s="3"/>
      <c r="I813" s="2"/>
      <c r="J813" s="29"/>
      <c r="K813" s="3"/>
      <c r="L813" s="2"/>
      <c r="M813" s="8"/>
      <c r="N813" s="3"/>
      <c r="O813" s="2"/>
      <c r="P813" s="3"/>
      <c r="Q813" s="2"/>
      <c r="R813" s="3"/>
      <c r="S813" s="3"/>
      <c r="T813" s="2"/>
      <c r="U813" s="8">
        <f t="shared" si="100"/>
        <v>0</v>
      </c>
      <c r="V813" s="8"/>
      <c r="W813" s="8"/>
      <c r="X813" s="8"/>
      <c r="Y813" s="8"/>
      <c r="Z813" s="8"/>
      <c r="AA813" s="8"/>
      <c r="AB813" s="8"/>
      <c r="AC813" s="8">
        <f t="shared" si="101"/>
        <v>0</v>
      </c>
      <c r="AD813" s="8"/>
      <c r="AE813" s="8"/>
      <c r="AF813" s="8"/>
      <c r="AG813" s="8"/>
      <c r="AH813" s="8"/>
      <c r="AI813" s="8"/>
      <c r="AJ813" s="8"/>
      <c r="AK813" s="8"/>
      <c r="AL813" s="8"/>
      <c r="AM813" s="8">
        <v>1374709621</v>
      </c>
      <c r="AN813" s="8">
        <f>SUBTOTAL(9,AC813:AM813)</f>
        <v>1374709621</v>
      </c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>
        <v>572493255</v>
      </c>
      <c r="AZ813" s="8"/>
      <c r="BA813" s="8"/>
      <c r="BB813" s="8"/>
      <c r="BC813" s="8">
        <f t="shared" si="102"/>
        <v>1947202876</v>
      </c>
      <c r="BD813" s="4">
        <v>572493255</v>
      </c>
      <c r="BE813" s="4">
        <f t="shared" si="103"/>
        <v>1374709621</v>
      </c>
      <c r="BF813" s="30">
        <f t="shared" si="104"/>
        <v>1947202876</v>
      </c>
      <c r="BG813" s="18">
        <f t="shared" si="105"/>
        <v>0</v>
      </c>
      <c r="BH813" s="23"/>
      <c r="BI813" s="23"/>
      <c r="BJ813" s="23"/>
    </row>
    <row r="814" spans="1:66" ht="15" customHeight="1" x14ac:dyDescent="0.2">
      <c r="A814" s="1">
        <v>8918578236</v>
      </c>
      <c r="B814" s="1">
        <v>891857823</v>
      </c>
      <c r="C814" s="15">
        <v>210085300</v>
      </c>
      <c r="D814" s="16" t="s">
        <v>967</v>
      </c>
      <c r="E814" s="58" t="s">
        <v>2252</v>
      </c>
      <c r="F814" s="28"/>
      <c r="G814" s="2"/>
      <c r="H814" s="3"/>
      <c r="I814" s="2"/>
      <c r="J814" s="29"/>
      <c r="K814" s="3"/>
      <c r="L814" s="2"/>
      <c r="M814" s="8"/>
      <c r="N814" s="3"/>
      <c r="O814" s="2"/>
      <c r="P814" s="3"/>
      <c r="Q814" s="2"/>
      <c r="R814" s="3"/>
      <c r="S814" s="3"/>
      <c r="T814" s="2"/>
      <c r="U814" s="8">
        <f t="shared" si="100"/>
        <v>0</v>
      </c>
      <c r="V814" s="8"/>
      <c r="W814" s="8"/>
      <c r="X814" s="8"/>
      <c r="Y814" s="8"/>
      <c r="Z814" s="8"/>
      <c r="AA814" s="8"/>
      <c r="AB814" s="8"/>
      <c r="AC814" s="8">
        <f t="shared" si="101"/>
        <v>0</v>
      </c>
      <c r="AD814" s="8"/>
      <c r="AE814" s="8"/>
      <c r="AF814" s="8"/>
      <c r="AG814" s="8"/>
      <c r="AH814" s="8"/>
      <c r="AI814" s="8"/>
      <c r="AJ814" s="8"/>
      <c r="AK814" s="8"/>
      <c r="AL814" s="8"/>
      <c r="AM814" s="8">
        <v>60101919</v>
      </c>
      <c r="AN814" s="8">
        <f>SUBTOTAL(9,AC814:AM814)</f>
        <v>60101919</v>
      </c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>
        <v>29934620</v>
      </c>
      <c r="AZ814" s="8"/>
      <c r="BA814" s="8"/>
      <c r="BB814" s="8"/>
      <c r="BC814" s="8">
        <f t="shared" si="102"/>
        <v>90036539</v>
      </c>
      <c r="BD814" s="4">
        <v>29934620</v>
      </c>
      <c r="BE814" s="4">
        <f t="shared" si="103"/>
        <v>60101919</v>
      </c>
      <c r="BF814" s="30">
        <f t="shared" si="104"/>
        <v>90036539</v>
      </c>
      <c r="BG814" s="18">
        <f t="shared" si="105"/>
        <v>0</v>
      </c>
      <c r="BH814" s="23"/>
      <c r="BI814" s="23"/>
      <c r="BJ814" s="23"/>
    </row>
    <row r="815" spans="1:66" ht="15" customHeight="1" x14ac:dyDescent="0.2">
      <c r="A815" s="1">
        <v>8190032248</v>
      </c>
      <c r="B815" s="1">
        <v>819003224</v>
      </c>
      <c r="C815" s="15">
        <v>216047660</v>
      </c>
      <c r="D815" s="16" t="s">
        <v>656</v>
      </c>
      <c r="E815" s="41" t="s">
        <v>1677</v>
      </c>
      <c r="F815" s="28"/>
      <c r="G815" s="2"/>
      <c r="H815" s="3"/>
      <c r="I815" s="2"/>
      <c r="J815" s="29"/>
      <c r="K815" s="3"/>
      <c r="L815" s="2"/>
      <c r="M815" s="8"/>
      <c r="N815" s="3"/>
      <c r="O815" s="2"/>
      <c r="P815" s="3"/>
      <c r="Q815" s="2"/>
      <c r="R815" s="3"/>
      <c r="S815" s="3"/>
      <c r="T815" s="2"/>
      <c r="U815" s="8">
        <f t="shared" si="100"/>
        <v>0</v>
      </c>
      <c r="V815" s="8"/>
      <c r="W815" s="8"/>
      <c r="X815" s="8"/>
      <c r="Y815" s="8"/>
      <c r="Z815" s="8"/>
      <c r="AA815" s="8"/>
      <c r="AB815" s="8"/>
      <c r="AC815" s="8">
        <f t="shared" si="101"/>
        <v>0</v>
      </c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>
        <v>231025790</v>
      </c>
      <c r="AZ815" s="8"/>
      <c r="BA815" s="8">
        <f>VLOOKUP(B815,[1]Hoja3!J$3:K$674,2,0)</f>
        <v>363133031</v>
      </c>
      <c r="BB815" s="8"/>
      <c r="BC815" s="8">
        <f t="shared" si="102"/>
        <v>594158821</v>
      </c>
      <c r="BD815" s="4">
        <v>231025790</v>
      </c>
      <c r="BE815" s="4">
        <f t="shared" si="103"/>
        <v>363133031</v>
      </c>
      <c r="BF815" s="30">
        <f t="shared" si="104"/>
        <v>594158821</v>
      </c>
      <c r="BG815" s="18">
        <f t="shared" si="105"/>
        <v>0</v>
      </c>
      <c r="BH815" s="23"/>
      <c r="BI815" s="23"/>
      <c r="BJ815" s="23"/>
    </row>
    <row r="816" spans="1:66" ht="15" customHeight="1" x14ac:dyDescent="0.2">
      <c r="A816" s="1">
        <v>8909803316</v>
      </c>
      <c r="B816" s="1">
        <v>890980331</v>
      </c>
      <c r="C816" s="15">
        <v>213105631</v>
      </c>
      <c r="D816" s="16" t="s">
        <v>125</v>
      </c>
      <c r="E816" s="53" t="s">
        <v>1154</v>
      </c>
      <c r="F816" s="28"/>
      <c r="G816" s="2"/>
      <c r="H816" s="3"/>
      <c r="I816" s="2">
        <f>840164734+64881472</f>
        <v>905046206</v>
      </c>
      <c r="J816" s="29">
        <v>63923514</v>
      </c>
      <c r="K816" s="3">
        <v>126642609</v>
      </c>
      <c r="L816" s="2"/>
      <c r="M816" s="37">
        <f>SUM(F816:L816)</f>
        <v>1095612329</v>
      </c>
      <c r="N816" s="3"/>
      <c r="O816" s="2"/>
      <c r="P816" s="3"/>
      <c r="Q816" s="2">
        <f>789140809+29491578</f>
        <v>818632387</v>
      </c>
      <c r="R816" s="3">
        <v>63923514</v>
      </c>
      <c r="S816" s="3">
        <f>62719095+63923514</f>
        <v>126642609</v>
      </c>
      <c r="T816" s="2"/>
      <c r="U816" s="8">
        <f t="shared" si="100"/>
        <v>2104810839</v>
      </c>
      <c r="V816" s="8"/>
      <c r="W816" s="8"/>
      <c r="X816" s="8"/>
      <c r="Y816" s="8">
        <v>1483080821</v>
      </c>
      <c r="Z816" s="8">
        <v>61404552</v>
      </c>
      <c r="AA816" s="8">
        <v>144842152</v>
      </c>
      <c r="AB816" s="8"/>
      <c r="AC816" s="8">
        <f t="shared" si="101"/>
        <v>3794138364</v>
      </c>
      <c r="AD816" s="8"/>
      <c r="AE816" s="8"/>
      <c r="AF816" s="8"/>
      <c r="AG816" s="8"/>
      <c r="AH816" s="8">
        <v>846944219</v>
      </c>
      <c r="AI816" s="8">
        <v>255706232</v>
      </c>
      <c r="AJ816" s="8">
        <v>65347725</v>
      </c>
      <c r="AK816" s="8">
        <v>164708958</v>
      </c>
      <c r="AL816" s="8"/>
      <c r="AM816" s="8">
        <v>503042975</v>
      </c>
      <c r="AN816" s="8">
        <f>SUBTOTAL(9,AC816:AM816)</f>
        <v>5629888473</v>
      </c>
      <c r="AO816" s="8"/>
      <c r="AP816" s="8"/>
      <c r="AQ816" s="8">
        <v>203339010</v>
      </c>
      <c r="AR816" s="8"/>
      <c r="AS816" s="8"/>
      <c r="AT816" s="8">
        <v>846944219</v>
      </c>
      <c r="AU816" s="8"/>
      <c r="AV816" s="8">
        <v>65347725</v>
      </c>
      <c r="AW816" s="8">
        <v>111540250</v>
      </c>
      <c r="AX816" s="8"/>
      <c r="AY816" s="8"/>
      <c r="AZ816" s="8"/>
      <c r="BA816" s="8"/>
      <c r="BB816" s="8"/>
      <c r="BC816" s="8">
        <f t="shared" si="102"/>
        <v>6857059677</v>
      </c>
      <c r="BD816" s="4">
        <v>6354016702</v>
      </c>
      <c r="BE816" s="4">
        <f t="shared" si="103"/>
        <v>503042975</v>
      </c>
      <c r="BF816" s="30">
        <f t="shared" si="104"/>
        <v>6857059677</v>
      </c>
      <c r="BG816" s="18">
        <f t="shared" si="105"/>
        <v>0</v>
      </c>
      <c r="BH816" s="23"/>
      <c r="BI816" s="23"/>
      <c r="BJ816" s="23"/>
    </row>
    <row r="817" spans="1:66" ht="15" customHeight="1" x14ac:dyDescent="0.2">
      <c r="A817" s="1">
        <v>8000285171</v>
      </c>
      <c r="B817" s="1">
        <v>800028517</v>
      </c>
      <c r="C817" s="15">
        <v>213215632</v>
      </c>
      <c r="D817" s="16" t="s">
        <v>293</v>
      </c>
      <c r="E817" s="41" t="s">
        <v>1324</v>
      </c>
      <c r="F817" s="28"/>
      <c r="G817" s="17"/>
      <c r="H817" s="3"/>
      <c r="I817" s="2"/>
      <c r="J817" s="29"/>
      <c r="K817" s="3"/>
      <c r="L817" s="17"/>
      <c r="M817" s="34"/>
      <c r="N817" s="3"/>
      <c r="O817" s="17"/>
      <c r="P817" s="3"/>
      <c r="Q817" s="2"/>
      <c r="R817" s="3"/>
      <c r="S817" s="3"/>
      <c r="T817" s="17"/>
      <c r="U817" s="8">
        <f t="shared" si="100"/>
        <v>0</v>
      </c>
      <c r="V817" s="8"/>
      <c r="W817" s="8"/>
      <c r="X817" s="8"/>
      <c r="Y817" s="8"/>
      <c r="Z817" s="8"/>
      <c r="AA817" s="8"/>
      <c r="AB817" s="8"/>
      <c r="AC817" s="8">
        <f t="shared" si="101"/>
        <v>0</v>
      </c>
      <c r="AD817" s="8"/>
      <c r="AE817" s="8"/>
      <c r="AF817" s="8"/>
      <c r="AG817" s="8"/>
      <c r="AH817" s="8"/>
      <c r="AI817" s="8"/>
      <c r="AJ817" s="8"/>
      <c r="AK817" s="8"/>
      <c r="AL817" s="8"/>
      <c r="AM817" s="8">
        <v>53793537</v>
      </c>
      <c r="AN817" s="8">
        <f>SUBTOTAL(9,AC817:AM817)</f>
        <v>53793537</v>
      </c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>
        <v>101835620</v>
      </c>
      <c r="AZ817" s="8"/>
      <c r="BA817" s="8">
        <f>VLOOKUP(B817,[1]Hoja3!J$3:K$674,2,0)</f>
        <v>153307564</v>
      </c>
      <c r="BB817" s="8"/>
      <c r="BC817" s="8">
        <f t="shared" si="102"/>
        <v>308936721</v>
      </c>
      <c r="BD817" s="4">
        <v>101835620</v>
      </c>
      <c r="BE817" s="4">
        <f t="shared" si="103"/>
        <v>207101101</v>
      </c>
      <c r="BF817" s="30">
        <f t="shared" si="104"/>
        <v>308936721</v>
      </c>
      <c r="BG817" s="18">
        <f t="shared" si="105"/>
        <v>0</v>
      </c>
      <c r="BH817" s="23"/>
      <c r="BI817" s="14"/>
      <c r="BJ817" s="14"/>
      <c r="BK817" s="14"/>
      <c r="BL817" s="14"/>
      <c r="BM817" s="14"/>
      <c r="BN817" s="14"/>
    </row>
    <row r="818" spans="1:66" ht="15" customHeight="1" x14ac:dyDescent="0.2">
      <c r="A818" s="1">
        <v>8001036638</v>
      </c>
      <c r="B818" s="1">
        <v>800103663</v>
      </c>
      <c r="C818" s="15">
        <v>211585315</v>
      </c>
      <c r="D818" s="16" t="s">
        <v>968</v>
      </c>
      <c r="E818" s="41" t="s">
        <v>2028</v>
      </c>
      <c r="F818" s="28"/>
      <c r="G818" s="2"/>
      <c r="H818" s="3"/>
      <c r="I818" s="2"/>
      <c r="J818" s="29"/>
      <c r="K818" s="3"/>
      <c r="L818" s="2"/>
      <c r="M818" s="8"/>
      <c r="N818" s="3"/>
      <c r="O818" s="2"/>
      <c r="P818" s="3"/>
      <c r="Q818" s="2"/>
      <c r="R818" s="3"/>
      <c r="S818" s="3"/>
      <c r="T818" s="2"/>
      <c r="U818" s="8">
        <f t="shared" si="100"/>
        <v>0</v>
      </c>
      <c r="V818" s="8"/>
      <c r="W818" s="8"/>
      <c r="X818" s="8"/>
      <c r="Y818" s="8"/>
      <c r="Z818" s="8"/>
      <c r="AA818" s="8"/>
      <c r="AB818" s="8"/>
      <c r="AC818" s="8">
        <f t="shared" si="101"/>
        <v>0</v>
      </c>
      <c r="AD818" s="8"/>
      <c r="AE818" s="8"/>
      <c r="AF818" s="8"/>
      <c r="AG818" s="8"/>
      <c r="AH818" s="8"/>
      <c r="AI818" s="8"/>
      <c r="AJ818" s="8"/>
      <c r="AK818" s="8"/>
      <c r="AL818" s="8"/>
      <c r="AM818" s="8">
        <v>19569551</v>
      </c>
      <c r="AN818" s="8">
        <f>SUBTOTAL(9,AC818:AM818)</f>
        <v>19569551</v>
      </c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>
        <v>14363855</v>
      </c>
      <c r="AZ818" s="8"/>
      <c r="BA818" s="8"/>
      <c r="BB818" s="8"/>
      <c r="BC818" s="8">
        <f t="shared" si="102"/>
        <v>33933406</v>
      </c>
      <c r="BD818" s="4">
        <v>14363855</v>
      </c>
      <c r="BE818" s="4">
        <f t="shared" si="103"/>
        <v>19569551</v>
      </c>
      <c r="BF818" s="30">
        <f t="shared" si="104"/>
        <v>33933406</v>
      </c>
      <c r="BG818" s="18">
        <f t="shared" si="105"/>
        <v>0</v>
      </c>
      <c r="BH818" s="23"/>
      <c r="BI818" s="23"/>
      <c r="BJ818" s="23"/>
    </row>
    <row r="819" spans="1:66" ht="15" customHeight="1" x14ac:dyDescent="0.2">
      <c r="A819" s="1">
        <v>8000198461</v>
      </c>
      <c r="B819" s="1">
        <v>800019846</v>
      </c>
      <c r="C819" s="15">
        <v>213815638</v>
      </c>
      <c r="D819" s="16" t="s">
        <v>294</v>
      </c>
      <c r="E819" s="41" t="s">
        <v>1325</v>
      </c>
      <c r="F819" s="28"/>
      <c r="G819" s="17"/>
      <c r="H819" s="3"/>
      <c r="I819" s="2"/>
      <c r="J819" s="29"/>
      <c r="K819" s="3"/>
      <c r="L819" s="17"/>
      <c r="M819" s="34"/>
      <c r="N819" s="3"/>
      <c r="O819" s="17"/>
      <c r="P819" s="3"/>
      <c r="Q819" s="2"/>
      <c r="R819" s="3"/>
      <c r="S819" s="3"/>
      <c r="T819" s="17"/>
      <c r="U819" s="8">
        <f t="shared" si="100"/>
        <v>0</v>
      </c>
      <c r="V819" s="8"/>
      <c r="W819" s="8"/>
      <c r="X819" s="8"/>
      <c r="Y819" s="8"/>
      <c r="Z819" s="8"/>
      <c r="AA819" s="8"/>
      <c r="AB819" s="8"/>
      <c r="AC819" s="8">
        <f t="shared" si="101"/>
        <v>0</v>
      </c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>
        <v>26526835</v>
      </c>
      <c r="AZ819" s="8"/>
      <c r="BA819" s="8">
        <f>VLOOKUP(B819,[1]Hoja3!J$3:K$674,2,0)</f>
        <v>52056713</v>
      </c>
      <c r="BB819" s="8"/>
      <c r="BC819" s="8">
        <f t="shared" si="102"/>
        <v>78583548</v>
      </c>
      <c r="BD819" s="4">
        <v>26526835</v>
      </c>
      <c r="BE819" s="4">
        <f t="shared" si="103"/>
        <v>52056713</v>
      </c>
      <c r="BF819" s="30">
        <f t="shared" si="104"/>
        <v>78583548</v>
      </c>
      <c r="BG819" s="18">
        <f t="shared" si="105"/>
        <v>0</v>
      </c>
      <c r="BH819" s="23"/>
      <c r="BI819" s="14"/>
      <c r="BJ819" s="14"/>
      <c r="BK819" s="14"/>
      <c r="BL819" s="14"/>
      <c r="BM819" s="14"/>
      <c r="BN819" s="14"/>
    </row>
    <row r="820" spans="1:66" ht="15" customHeight="1" x14ac:dyDescent="0.2">
      <c r="A820" s="1">
        <v>8000967778</v>
      </c>
      <c r="B820" s="1">
        <v>800096777</v>
      </c>
      <c r="C820" s="15">
        <v>216023660</v>
      </c>
      <c r="D820" s="16" t="s">
        <v>2184</v>
      </c>
      <c r="E820" s="53" t="s">
        <v>1018</v>
      </c>
      <c r="F820" s="28"/>
      <c r="G820" s="2"/>
      <c r="H820" s="3"/>
      <c r="I820" s="39">
        <f>3381205754+51691483</f>
        <v>3432897237</v>
      </c>
      <c r="J820" s="29">
        <v>239101125</v>
      </c>
      <c r="K820" s="3">
        <v>483316038</v>
      </c>
      <c r="L820" s="2"/>
      <c r="M820" s="37">
        <f>SUM(F820:L820)</f>
        <v>4155314400</v>
      </c>
      <c r="N820" s="3"/>
      <c r="O820" s="2"/>
      <c r="P820" s="3"/>
      <c r="Q820" s="2">
        <f>3283515181+23496129</f>
        <v>3307011310</v>
      </c>
      <c r="R820" s="3">
        <v>239101125</v>
      </c>
      <c r="S820" s="3">
        <f>244214913+239101125</f>
        <v>483316038</v>
      </c>
      <c r="T820" s="2"/>
      <c r="U820" s="8">
        <f t="shared" si="100"/>
        <v>8184742873</v>
      </c>
      <c r="V820" s="8"/>
      <c r="W820" s="8"/>
      <c r="X820" s="8"/>
      <c r="Y820" s="8">
        <v>5325431895</v>
      </c>
      <c r="Z820" s="8">
        <v>238252994</v>
      </c>
      <c r="AA820" s="8">
        <v>541839747</v>
      </c>
      <c r="AB820" s="8"/>
      <c r="AC820" s="8">
        <f t="shared" si="101"/>
        <v>14290267509</v>
      </c>
      <c r="AD820" s="8"/>
      <c r="AE820" s="8"/>
      <c r="AF820" s="8"/>
      <c r="AG820" s="8"/>
      <c r="AH820" s="8">
        <v>3441754975</v>
      </c>
      <c r="AI820" s="8">
        <v>347560704</v>
      </c>
      <c r="AJ820" s="8">
        <v>245623058</v>
      </c>
      <c r="AK820" s="8">
        <v>619389794</v>
      </c>
      <c r="AL820" s="8"/>
      <c r="AM820" s="8">
        <v>1068773499</v>
      </c>
      <c r="AN820" s="8">
        <f>SUBTOTAL(9,AC820:AM820)</f>
        <v>20013369539</v>
      </c>
      <c r="AO820" s="8"/>
      <c r="AP820" s="8"/>
      <c r="AQ820" s="8">
        <v>843076960</v>
      </c>
      <c r="AR820" s="8"/>
      <c r="AS820" s="8"/>
      <c r="AT820" s="8">
        <v>3441754975</v>
      </c>
      <c r="AU820" s="8"/>
      <c r="AV820" s="8">
        <v>245623058</v>
      </c>
      <c r="AW820" s="8">
        <v>419503160</v>
      </c>
      <c r="AX820" s="8"/>
      <c r="AY820" s="8"/>
      <c r="AZ820" s="8"/>
      <c r="BA820" s="8">
        <f>VLOOKUP(B820,[1]Hoja3!J$3:K$674,2,0)</f>
        <v>591306826</v>
      </c>
      <c r="BB820" s="8"/>
      <c r="BC820" s="8">
        <f t="shared" si="102"/>
        <v>25554634518</v>
      </c>
      <c r="BD820" s="4">
        <v>23894554193</v>
      </c>
      <c r="BE820" s="4">
        <f t="shared" si="103"/>
        <v>1660080325</v>
      </c>
      <c r="BF820" s="30">
        <f t="shared" si="104"/>
        <v>25554634518</v>
      </c>
      <c r="BG820" s="18">
        <f t="shared" si="105"/>
        <v>0</v>
      </c>
      <c r="BH820" s="23"/>
      <c r="BI820" s="23"/>
      <c r="BJ820" s="23"/>
    </row>
    <row r="821" spans="1:66" ht="15" customHeight="1" x14ac:dyDescent="0.2">
      <c r="A821" s="1">
        <v>8911801801</v>
      </c>
      <c r="B821" s="1">
        <v>891180180</v>
      </c>
      <c r="C821" s="15">
        <v>216041660</v>
      </c>
      <c r="D821" s="16" t="s">
        <v>618</v>
      </c>
      <c r="E821" s="41" t="s">
        <v>1638</v>
      </c>
      <c r="F821" s="28"/>
      <c r="G821" s="2"/>
      <c r="H821" s="3"/>
      <c r="I821" s="2"/>
      <c r="J821" s="29"/>
      <c r="K821" s="3"/>
      <c r="L821" s="2"/>
      <c r="M821" s="8"/>
      <c r="N821" s="3"/>
      <c r="O821" s="2"/>
      <c r="P821" s="3"/>
      <c r="Q821" s="2"/>
      <c r="R821" s="3"/>
      <c r="S821" s="3"/>
      <c r="T821" s="2"/>
      <c r="U821" s="8">
        <f t="shared" si="100"/>
        <v>0</v>
      </c>
      <c r="V821" s="8"/>
      <c r="W821" s="8"/>
      <c r="X821" s="8"/>
      <c r="Y821" s="8"/>
      <c r="Z821" s="8"/>
      <c r="AA821" s="8"/>
      <c r="AB821" s="8"/>
      <c r="AC821" s="8">
        <f t="shared" si="101"/>
        <v>0</v>
      </c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>
        <v>95255785</v>
      </c>
      <c r="AZ821" s="8"/>
      <c r="BA821" s="8">
        <f>VLOOKUP(B821,[1]Hoja3!J$3:K$674,2,0)</f>
        <v>220949308</v>
      </c>
      <c r="BB821" s="8"/>
      <c r="BC821" s="8">
        <f t="shared" si="102"/>
        <v>316205093</v>
      </c>
      <c r="BD821" s="4">
        <v>95255785</v>
      </c>
      <c r="BE821" s="4">
        <f t="shared" si="103"/>
        <v>220949308</v>
      </c>
      <c r="BF821" s="30">
        <f t="shared" si="104"/>
        <v>316205093</v>
      </c>
      <c r="BG821" s="18">
        <f t="shared" si="105"/>
        <v>0</v>
      </c>
      <c r="BH821" s="23"/>
      <c r="BI821" s="23"/>
      <c r="BJ821" s="23"/>
    </row>
    <row r="822" spans="1:66" ht="15" customHeight="1" x14ac:dyDescent="0.2">
      <c r="A822" s="1">
        <v>8908011313</v>
      </c>
      <c r="B822" s="1">
        <v>890801131</v>
      </c>
      <c r="C822" s="15">
        <v>215317653</v>
      </c>
      <c r="D822" s="16" t="s">
        <v>355</v>
      </c>
      <c r="E822" s="41" t="s">
        <v>1384</v>
      </c>
      <c r="F822" s="28"/>
      <c r="G822" s="2"/>
      <c r="H822" s="3"/>
      <c r="I822" s="2"/>
      <c r="J822" s="29"/>
      <c r="K822" s="3"/>
      <c r="L822" s="2"/>
      <c r="M822" s="8"/>
      <c r="N822" s="3"/>
      <c r="O822" s="2"/>
      <c r="P822" s="3"/>
      <c r="Q822" s="2"/>
      <c r="R822" s="3"/>
      <c r="S822" s="3"/>
      <c r="T822" s="2"/>
      <c r="U822" s="8">
        <f t="shared" si="100"/>
        <v>0</v>
      </c>
      <c r="V822" s="8"/>
      <c r="W822" s="8"/>
      <c r="X822" s="8"/>
      <c r="Y822" s="8"/>
      <c r="Z822" s="8"/>
      <c r="AA822" s="8"/>
      <c r="AB822" s="8"/>
      <c r="AC822" s="8">
        <f t="shared" si="101"/>
        <v>0</v>
      </c>
      <c r="AD822" s="8"/>
      <c r="AE822" s="8"/>
      <c r="AF822" s="8"/>
      <c r="AG822" s="8"/>
      <c r="AH822" s="8"/>
      <c r="AI822" s="8"/>
      <c r="AJ822" s="8"/>
      <c r="AK822" s="8"/>
      <c r="AL822" s="8"/>
      <c r="AM822" s="8">
        <v>142807865</v>
      </c>
      <c r="AN822" s="8">
        <f>SUBTOTAL(9,AC822:AM822)</f>
        <v>142807865</v>
      </c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>
        <v>124968660</v>
      </c>
      <c r="AZ822" s="8"/>
      <c r="BA822" s="8">
        <f>VLOOKUP(B822,[1]Hoja3!J$3:K$674,2,0)</f>
        <v>77548860</v>
      </c>
      <c r="BB822" s="8"/>
      <c r="BC822" s="8">
        <f t="shared" si="102"/>
        <v>345325385</v>
      </c>
      <c r="BD822" s="4">
        <v>124968660</v>
      </c>
      <c r="BE822" s="4">
        <f t="shared" si="103"/>
        <v>220356725</v>
      </c>
      <c r="BF822" s="30">
        <f t="shared" si="104"/>
        <v>345325385</v>
      </c>
      <c r="BG822" s="18">
        <f t="shared" si="105"/>
        <v>0</v>
      </c>
      <c r="BH822" s="23"/>
      <c r="BI822" s="23"/>
      <c r="BJ822" s="23"/>
    </row>
    <row r="823" spans="1:66" ht="15" customHeight="1" x14ac:dyDescent="0.2">
      <c r="A823" s="1">
        <v>8917800539</v>
      </c>
      <c r="B823" s="1">
        <v>891780053</v>
      </c>
      <c r="C823" s="15">
        <v>217547675</v>
      </c>
      <c r="D823" s="16" t="s">
        <v>657</v>
      </c>
      <c r="E823" s="41" t="s">
        <v>1678</v>
      </c>
      <c r="F823" s="28"/>
      <c r="G823" s="17"/>
      <c r="H823" s="3"/>
      <c r="I823" s="2"/>
      <c r="J823" s="29"/>
      <c r="K823" s="3"/>
      <c r="L823" s="17"/>
      <c r="M823" s="34"/>
      <c r="N823" s="3"/>
      <c r="O823" s="17"/>
      <c r="P823" s="3"/>
      <c r="Q823" s="2"/>
      <c r="R823" s="3"/>
      <c r="S823" s="3"/>
      <c r="T823" s="17"/>
      <c r="U823" s="8">
        <f t="shared" si="100"/>
        <v>0</v>
      </c>
      <c r="V823" s="8"/>
      <c r="W823" s="8"/>
      <c r="X823" s="8"/>
      <c r="Y823" s="8"/>
      <c r="Z823" s="8"/>
      <c r="AA823" s="8"/>
      <c r="AB823" s="8"/>
      <c r="AC823" s="8">
        <f t="shared" si="101"/>
        <v>0</v>
      </c>
      <c r="AD823" s="8"/>
      <c r="AE823" s="8"/>
      <c r="AF823" s="8"/>
      <c r="AG823" s="8"/>
      <c r="AH823" s="8"/>
      <c r="AI823" s="8"/>
      <c r="AJ823" s="8"/>
      <c r="AK823" s="8"/>
      <c r="AL823" s="8"/>
      <c r="AM823" s="8">
        <v>181530634</v>
      </c>
      <c r="AN823" s="8">
        <f>SUBTOTAL(9,AC823:AM823)</f>
        <v>181530634</v>
      </c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>
        <f t="shared" si="102"/>
        <v>181530634</v>
      </c>
      <c r="BD823" s="4"/>
      <c r="BE823" s="4">
        <f t="shared" si="103"/>
        <v>181530634</v>
      </c>
      <c r="BF823" s="30">
        <f t="shared" si="104"/>
        <v>181530634</v>
      </c>
      <c r="BG823" s="18">
        <f t="shared" si="105"/>
        <v>0</v>
      </c>
      <c r="BH823" s="23"/>
      <c r="BI823" s="14"/>
      <c r="BJ823" s="14"/>
      <c r="BK823" s="14"/>
      <c r="BL823" s="14"/>
      <c r="BM823" s="14"/>
      <c r="BN823" s="14"/>
    </row>
    <row r="824" spans="1:66" ht="15" customHeight="1" x14ac:dyDescent="0.2">
      <c r="A824" s="1">
        <v>8905015490</v>
      </c>
      <c r="B824" s="1">
        <v>890501549</v>
      </c>
      <c r="C824" s="15">
        <v>216054660</v>
      </c>
      <c r="D824" s="16" t="s">
        <v>779</v>
      </c>
      <c r="E824" s="41" t="s">
        <v>2067</v>
      </c>
      <c r="F824" s="28"/>
      <c r="G824" s="2"/>
      <c r="H824" s="3"/>
      <c r="I824" s="2"/>
      <c r="J824" s="29"/>
      <c r="K824" s="3"/>
      <c r="L824" s="2"/>
      <c r="M824" s="8"/>
      <c r="N824" s="3"/>
      <c r="O824" s="2"/>
      <c r="P824" s="3"/>
      <c r="Q824" s="2"/>
      <c r="R824" s="3"/>
      <c r="S824" s="3"/>
      <c r="T824" s="2"/>
      <c r="U824" s="8">
        <f t="shared" si="100"/>
        <v>0</v>
      </c>
      <c r="V824" s="8"/>
      <c r="W824" s="8"/>
      <c r="X824" s="8"/>
      <c r="Y824" s="8"/>
      <c r="Z824" s="8"/>
      <c r="AA824" s="8"/>
      <c r="AB824" s="8"/>
      <c r="AC824" s="8">
        <f t="shared" si="101"/>
        <v>0</v>
      </c>
      <c r="AD824" s="8"/>
      <c r="AE824" s="8"/>
      <c r="AF824" s="8"/>
      <c r="AG824" s="8"/>
      <c r="AH824" s="8"/>
      <c r="AI824" s="8"/>
      <c r="AJ824" s="8"/>
      <c r="AK824" s="8"/>
      <c r="AL824" s="8"/>
      <c r="AM824" s="8">
        <v>82431913</v>
      </c>
      <c r="AN824" s="8">
        <f>SUBTOTAL(9,AC824:AM824)</f>
        <v>82431913</v>
      </c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>
        <v>80320925</v>
      </c>
      <c r="AZ824" s="8"/>
      <c r="BA824" s="8">
        <f>VLOOKUP(B824,[1]Hoja3!J$3:K$674,2,0)</f>
        <v>89025505</v>
      </c>
      <c r="BB824" s="8"/>
      <c r="BC824" s="8">
        <f t="shared" si="102"/>
        <v>251778343</v>
      </c>
      <c r="BD824" s="4">
        <v>80320925</v>
      </c>
      <c r="BE824" s="4">
        <f t="shared" si="103"/>
        <v>171457418</v>
      </c>
      <c r="BF824" s="30">
        <f t="shared" si="104"/>
        <v>251778343</v>
      </c>
      <c r="BG824" s="18">
        <f t="shared" si="105"/>
        <v>0</v>
      </c>
      <c r="BH824" s="23"/>
      <c r="BI824" s="23"/>
      <c r="BJ824" s="23"/>
    </row>
    <row r="825" spans="1:66" ht="15" customHeight="1" x14ac:dyDescent="0.2">
      <c r="A825" s="1">
        <v>8001001404</v>
      </c>
      <c r="B825" s="1">
        <v>800100140</v>
      </c>
      <c r="C825" s="15">
        <v>217173671</v>
      </c>
      <c r="D825" s="16" t="s">
        <v>2238</v>
      </c>
      <c r="E825" s="41" t="s">
        <v>1965</v>
      </c>
      <c r="F825" s="28"/>
      <c r="G825" s="2"/>
      <c r="H825" s="3"/>
      <c r="I825" s="2"/>
      <c r="J825" s="29"/>
      <c r="K825" s="3"/>
      <c r="L825" s="2"/>
      <c r="M825" s="8"/>
      <c r="N825" s="3"/>
      <c r="O825" s="2"/>
      <c r="P825" s="3"/>
      <c r="Q825" s="2"/>
      <c r="R825" s="3"/>
      <c r="S825" s="3"/>
      <c r="T825" s="2"/>
      <c r="U825" s="8">
        <f t="shared" si="100"/>
        <v>0</v>
      </c>
      <c r="V825" s="8"/>
      <c r="W825" s="8"/>
      <c r="X825" s="8"/>
      <c r="Y825" s="8"/>
      <c r="Z825" s="8"/>
      <c r="AA825" s="8"/>
      <c r="AB825" s="8"/>
      <c r="AC825" s="8">
        <f t="shared" si="101"/>
        <v>0</v>
      </c>
      <c r="AD825" s="8"/>
      <c r="AE825" s="8"/>
      <c r="AF825" s="8"/>
      <c r="AG825" s="8"/>
      <c r="AH825" s="8"/>
      <c r="AI825" s="8"/>
      <c r="AJ825" s="8"/>
      <c r="AK825" s="8"/>
      <c r="AL825" s="8"/>
      <c r="AM825" s="8">
        <v>88418865</v>
      </c>
      <c r="AN825" s="8">
        <f>SUBTOTAL(9,AC825:AM825)</f>
        <v>88418865</v>
      </c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>
        <v>90559495</v>
      </c>
      <c r="AZ825" s="8"/>
      <c r="BA825" s="8">
        <f>VLOOKUP(B825,[1]Hoja3!J$3:K$674,2,0)</f>
        <v>105405750</v>
      </c>
      <c r="BB825" s="8"/>
      <c r="BC825" s="8">
        <f t="shared" si="102"/>
        <v>284384110</v>
      </c>
      <c r="BD825" s="4">
        <v>90559495</v>
      </c>
      <c r="BE825" s="4">
        <f t="shared" si="103"/>
        <v>193824615</v>
      </c>
      <c r="BF825" s="30">
        <f t="shared" si="104"/>
        <v>284384110</v>
      </c>
      <c r="BG825" s="18">
        <f t="shared" si="105"/>
        <v>0</v>
      </c>
      <c r="BH825" s="23"/>
      <c r="BI825" s="23"/>
      <c r="BJ825" s="23"/>
    </row>
    <row r="826" spans="1:66" ht="15" customHeight="1" x14ac:dyDescent="0.2">
      <c r="A826" s="1">
        <v>8900011270</v>
      </c>
      <c r="B826" s="1">
        <v>890001127</v>
      </c>
      <c r="C826" s="15">
        <v>219063690</v>
      </c>
      <c r="D826" s="16" t="s">
        <v>799</v>
      </c>
      <c r="E826" s="41" t="s">
        <v>1817</v>
      </c>
      <c r="F826" s="28"/>
      <c r="G826" s="2"/>
      <c r="H826" s="3"/>
      <c r="I826" s="2"/>
      <c r="J826" s="29"/>
      <c r="K826" s="3"/>
      <c r="L826" s="2"/>
      <c r="M826" s="8"/>
      <c r="N826" s="3"/>
      <c r="O826" s="2"/>
      <c r="P826" s="3"/>
      <c r="Q826" s="2"/>
      <c r="R826" s="3"/>
      <c r="S826" s="3"/>
      <c r="T826" s="2"/>
      <c r="U826" s="8">
        <f t="shared" si="100"/>
        <v>0</v>
      </c>
      <c r="V826" s="8"/>
      <c r="W826" s="8"/>
      <c r="X826" s="8"/>
      <c r="Y826" s="8"/>
      <c r="Z826" s="8"/>
      <c r="AA826" s="8"/>
      <c r="AB826" s="8"/>
      <c r="AC826" s="8">
        <f t="shared" si="101"/>
        <v>0</v>
      </c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>
        <v>50845710</v>
      </c>
      <c r="AZ826" s="8"/>
      <c r="BA826" s="8">
        <f>VLOOKUP(B826,[1]Hoja3!J$3:K$674,2,0)</f>
        <v>87332014</v>
      </c>
      <c r="BB826" s="8"/>
      <c r="BC826" s="8">
        <f t="shared" si="102"/>
        <v>138177724</v>
      </c>
      <c r="BD826" s="4">
        <v>50845710</v>
      </c>
      <c r="BE826" s="4">
        <f t="shared" si="103"/>
        <v>87332014</v>
      </c>
      <c r="BF826" s="30">
        <f t="shared" si="104"/>
        <v>138177724</v>
      </c>
      <c r="BG826" s="18">
        <f t="shared" si="105"/>
        <v>0</v>
      </c>
      <c r="BH826" s="23"/>
      <c r="BI826" s="23"/>
      <c r="BJ826" s="23"/>
    </row>
    <row r="827" spans="1:66" ht="15" customHeight="1" x14ac:dyDescent="0.2">
      <c r="A827" s="1">
        <v>8909805770</v>
      </c>
      <c r="B827" s="1">
        <v>890980577</v>
      </c>
      <c r="C827" s="15">
        <v>214205642</v>
      </c>
      <c r="D827" s="16" t="s">
        <v>126</v>
      </c>
      <c r="E827" s="41" t="s">
        <v>1155</v>
      </c>
      <c r="F827" s="28"/>
      <c r="G827" s="2"/>
      <c r="H827" s="3"/>
      <c r="I827" s="2"/>
      <c r="J827" s="29"/>
      <c r="K827" s="3"/>
      <c r="L827" s="2"/>
      <c r="M827" s="8"/>
      <c r="N827" s="3"/>
      <c r="O827" s="2"/>
      <c r="P827" s="3"/>
      <c r="Q827" s="2"/>
      <c r="R827" s="3"/>
      <c r="S827" s="3"/>
      <c r="T827" s="2"/>
      <c r="U827" s="8">
        <f t="shared" si="100"/>
        <v>0</v>
      </c>
      <c r="V827" s="8"/>
      <c r="W827" s="8"/>
      <c r="X827" s="8"/>
      <c r="Y827" s="8"/>
      <c r="Z827" s="8"/>
      <c r="AA827" s="8"/>
      <c r="AB827" s="8"/>
      <c r="AC827" s="8">
        <f t="shared" si="101"/>
        <v>0</v>
      </c>
      <c r="AD827" s="8"/>
      <c r="AE827" s="8"/>
      <c r="AF827" s="8"/>
      <c r="AG827" s="8"/>
      <c r="AH827" s="8"/>
      <c r="AI827" s="8"/>
      <c r="AJ827" s="8"/>
      <c r="AK827" s="8"/>
      <c r="AL827" s="8"/>
      <c r="AM827" s="8">
        <v>230548887</v>
      </c>
      <c r="AN827" s="8">
        <f>SUBTOTAL(9,AC827:AM827)</f>
        <v>230548887</v>
      </c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>
        <f t="shared" si="102"/>
        <v>230548887</v>
      </c>
      <c r="BD827" s="4"/>
      <c r="BE827" s="4">
        <f t="shared" si="103"/>
        <v>230548887</v>
      </c>
      <c r="BF827" s="30">
        <f t="shared" si="104"/>
        <v>230548887</v>
      </c>
      <c r="BG827" s="18">
        <f t="shared" si="105"/>
        <v>0</v>
      </c>
      <c r="BH827" s="23"/>
      <c r="BI827" s="23"/>
      <c r="BJ827" s="23"/>
    </row>
    <row r="828" spans="1:66" ht="15" customHeight="1" x14ac:dyDescent="0.2">
      <c r="A828" s="1">
        <v>8000167579</v>
      </c>
      <c r="B828" s="1">
        <v>800016757</v>
      </c>
      <c r="C828" s="15">
        <v>214615646</v>
      </c>
      <c r="D828" s="16" t="s">
        <v>295</v>
      </c>
      <c r="E828" s="41" t="s">
        <v>1326</v>
      </c>
      <c r="F828" s="28"/>
      <c r="G828" s="17"/>
      <c r="H828" s="3"/>
      <c r="I828" s="2"/>
      <c r="J828" s="29"/>
      <c r="K828" s="3"/>
      <c r="L828" s="17"/>
      <c r="M828" s="34"/>
      <c r="N828" s="3"/>
      <c r="O828" s="17"/>
      <c r="P828" s="3"/>
      <c r="Q828" s="2"/>
      <c r="R828" s="3"/>
      <c r="S828" s="3"/>
      <c r="T828" s="17"/>
      <c r="U828" s="8">
        <f t="shared" si="100"/>
        <v>0</v>
      </c>
      <c r="V828" s="8"/>
      <c r="W828" s="8"/>
      <c r="X828" s="8"/>
      <c r="Y828" s="8"/>
      <c r="Z828" s="8"/>
      <c r="AA828" s="8"/>
      <c r="AB828" s="8"/>
      <c r="AC828" s="8">
        <f t="shared" si="101"/>
        <v>0</v>
      </c>
      <c r="AD828" s="8"/>
      <c r="AE828" s="8"/>
      <c r="AF828" s="8"/>
      <c r="AG828" s="8"/>
      <c r="AH828" s="8"/>
      <c r="AI828" s="8"/>
      <c r="AJ828" s="8"/>
      <c r="AK828" s="8"/>
      <c r="AL828" s="8"/>
      <c r="AM828" s="8">
        <v>76134355</v>
      </c>
      <c r="AN828" s="8">
        <f>SUBTOTAL(9,AC828:AM828)</f>
        <v>76134355</v>
      </c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>
        <f>VLOOKUP(B828,[1]Hoja3!J$3:K$674,2,0)</f>
        <v>247528810</v>
      </c>
      <c r="BB828" s="8"/>
      <c r="BC828" s="8">
        <f t="shared" si="102"/>
        <v>323663165</v>
      </c>
      <c r="BD828" s="4"/>
      <c r="BE828" s="4">
        <f t="shared" si="103"/>
        <v>323663165</v>
      </c>
      <c r="BF828" s="30">
        <f t="shared" si="104"/>
        <v>323663165</v>
      </c>
      <c r="BG828" s="18">
        <f t="shared" si="105"/>
        <v>0</v>
      </c>
      <c r="BH828" s="23"/>
      <c r="BI828" s="14"/>
      <c r="BJ828" s="14"/>
      <c r="BK828" s="14"/>
      <c r="BL828" s="14"/>
      <c r="BM828" s="14"/>
      <c r="BN828" s="14"/>
    </row>
    <row r="829" spans="1:66" ht="15" customHeight="1" x14ac:dyDescent="0.2">
      <c r="A829" s="1">
        <v>8908011495</v>
      </c>
      <c r="B829" s="1">
        <v>890801149</v>
      </c>
      <c r="C829" s="15">
        <v>216217662</v>
      </c>
      <c r="D829" s="16" t="s">
        <v>356</v>
      </c>
      <c r="E829" s="41" t="s">
        <v>1385</v>
      </c>
      <c r="F829" s="28"/>
      <c r="G829" s="2"/>
      <c r="H829" s="3"/>
      <c r="I829" s="2"/>
      <c r="J829" s="29"/>
      <c r="K829" s="3"/>
      <c r="L829" s="2"/>
      <c r="M829" s="8"/>
      <c r="N829" s="3"/>
      <c r="O829" s="2"/>
      <c r="P829" s="3"/>
      <c r="Q829" s="2"/>
      <c r="R829" s="3"/>
      <c r="S829" s="3"/>
      <c r="T829" s="2"/>
      <c r="U829" s="8">
        <f t="shared" si="100"/>
        <v>0</v>
      </c>
      <c r="V829" s="8"/>
      <c r="W829" s="8"/>
      <c r="X829" s="8"/>
      <c r="Y829" s="8"/>
      <c r="Z829" s="8"/>
      <c r="AA829" s="8"/>
      <c r="AB829" s="8"/>
      <c r="AC829" s="8">
        <f t="shared" si="101"/>
        <v>0</v>
      </c>
      <c r="AD829" s="8"/>
      <c r="AE829" s="8"/>
      <c r="AF829" s="8"/>
      <c r="AG829" s="8"/>
      <c r="AH829" s="8"/>
      <c r="AI829" s="8"/>
      <c r="AJ829" s="8"/>
      <c r="AK829" s="8"/>
      <c r="AL829" s="8"/>
      <c r="AM829" s="8">
        <v>335215012</v>
      </c>
      <c r="AN829" s="8">
        <f>SUBTOTAL(9,AC829:AM829)</f>
        <v>335215012</v>
      </c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>
        <v>163252520</v>
      </c>
      <c r="AZ829" s="8"/>
      <c r="BA829" s="8"/>
      <c r="BB829" s="8">
        <f>VLOOKUP(B829,'[2]anuladas en mayo gratuidad}'!K$2:L$55,2,0)</f>
        <v>95588319</v>
      </c>
      <c r="BC829" s="8">
        <f t="shared" si="102"/>
        <v>402879213</v>
      </c>
      <c r="BD829" s="4">
        <v>163252520</v>
      </c>
      <c r="BE829" s="4">
        <f t="shared" si="103"/>
        <v>239626693</v>
      </c>
      <c r="BF829" s="30">
        <f t="shared" si="104"/>
        <v>402879213</v>
      </c>
      <c r="BG829" s="18">
        <f t="shared" si="105"/>
        <v>0</v>
      </c>
      <c r="BH829" s="23"/>
      <c r="BI829" s="23"/>
      <c r="BJ829" s="23"/>
    </row>
    <row r="830" spans="1:66" ht="15" customHeight="1" x14ac:dyDescent="0.2">
      <c r="A830" s="1">
        <v>8000991360</v>
      </c>
      <c r="B830" s="1">
        <v>800099136</v>
      </c>
      <c r="C830" s="15">
        <v>217852678</v>
      </c>
      <c r="D830" s="16" t="s">
        <v>738</v>
      </c>
      <c r="E830" s="41" t="s">
        <v>1761</v>
      </c>
      <c r="F830" s="28"/>
      <c r="G830" s="2"/>
      <c r="H830" s="3"/>
      <c r="I830" s="2"/>
      <c r="J830" s="29"/>
      <c r="K830" s="3"/>
      <c r="L830" s="2"/>
      <c r="M830" s="8"/>
      <c r="N830" s="3"/>
      <c r="O830" s="2"/>
      <c r="P830" s="3"/>
      <c r="Q830" s="2"/>
      <c r="R830" s="3"/>
      <c r="S830" s="3"/>
      <c r="T830" s="2"/>
      <c r="U830" s="8">
        <f t="shared" si="100"/>
        <v>0</v>
      </c>
      <c r="V830" s="8"/>
      <c r="W830" s="8"/>
      <c r="X830" s="8"/>
      <c r="Y830" s="8"/>
      <c r="Z830" s="8"/>
      <c r="AA830" s="8"/>
      <c r="AB830" s="8"/>
      <c r="AC830" s="8">
        <f t="shared" si="101"/>
        <v>0</v>
      </c>
      <c r="AD830" s="8"/>
      <c r="AE830" s="8"/>
      <c r="AF830" s="8"/>
      <c r="AG830" s="8"/>
      <c r="AH830" s="8"/>
      <c r="AI830" s="8"/>
      <c r="AJ830" s="8"/>
      <c r="AK830" s="8"/>
      <c r="AL830" s="8"/>
      <c r="AM830" s="8">
        <v>220738192</v>
      </c>
      <c r="AN830" s="8">
        <f>SUBTOTAL(9,AC830:AM830)</f>
        <v>220738192</v>
      </c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>
        <f>VLOOKUP(B830,[1]Hoja3!J$3:K$674,2,0)</f>
        <v>33785749</v>
      </c>
      <c r="BB830" s="8"/>
      <c r="BC830" s="8">
        <f t="shared" si="102"/>
        <v>254523941</v>
      </c>
      <c r="BD830" s="4"/>
      <c r="BE830" s="4">
        <f t="shared" si="103"/>
        <v>254523941</v>
      </c>
      <c r="BF830" s="30">
        <f t="shared" si="104"/>
        <v>254523941</v>
      </c>
      <c r="BG830" s="18">
        <f t="shared" si="105"/>
        <v>0</v>
      </c>
      <c r="BH830" s="23"/>
      <c r="BI830" s="23"/>
      <c r="BJ830" s="23"/>
    </row>
    <row r="831" spans="1:66" ht="15" customHeight="1" x14ac:dyDescent="0.2">
      <c r="A831" s="1">
        <v>8922800551</v>
      </c>
      <c r="B831" s="1">
        <v>892280055</v>
      </c>
      <c r="C831" s="15">
        <v>217070670</v>
      </c>
      <c r="D831" s="16" t="s">
        <v>905</v>
      </c>
      <c r="E831" s="41" t="s">
        <v>1919</v>
      </c>
      <c r="F831" s="28"/>
      <c r="G831" s="2"/>
      <c r="H831" s="3"/>
      <c r="I831" s="2"/>
      <c r="J831" s="29"/>
      <c r="K831" s="3"/>
      <c r="L831" s="2"/>
      <c r="M831" s="8"/>
      <c r="N831" s="3"/>
      <c r="O831" s="2"/>
      <c r="P831" s="3"/>
      <c r="Q831" s="2"/>
      <c r="R831" s="3"/>
      <c r="S831" s="3"/>
      <c r="T831" s="2"/>
      <c r="U831" s="8">
        <f t="shared" si="100"/>
        <v>0</v>
      </c>
      <c r="V831" s="8"/>
      <c r="W831" s="8"/>
      <c r="X831" s="8"/>
      <c r="Y831" s="8"/>
      <c r="Z831" s="8"/>
      <c r="AA831" s="8"/>
      <c r="AB831" s="8"/>
      <c r="AC831" s="8">
        <f t="shared" si="101"/>
        <v>0</v>
      </c>
      <c r="AD831" s="8"/>
      <c r="AE831" s="8"/>
      <c r="AF831" s="8"/>
      <c r="AG831" s="8"/>
      <c r="AH831" s="8"/>
      <c r="AI831" s="8"/>
      <c r="AJ831" s="8"/>
      <c r="AK831" s="8"/>
      <c r="AL831" s="8"/>
      <c r="AM831" s="8">
        <v>83946977</v>
      </c>
      <c r="AN831" s="8">
        <f>SUBTOTAL(9,AC831:AM831)</f>
        <v>83946977</v>
      </c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>
        <v>529346295</v>
      </c>
      <c r="AZ831" s="8"/>
      <c r="BA831" s="8">
        <f>VLOOKUP(B831,[1]Hoja3!J$3:K$674,2,0)</f>
        <v>731038825</v>
      </c>
      <c r="BB831" s="8"/>
      <c r="BC831" s="8">
        <f t="shared" si="102"/>
        <v>1344332097</v>
      </c>
      <c r="BD831" s="4">
        <v>529346295</v>
      </c>
      <c r="BE831" s="4">
        <f t="shared" si="103"/>
        <v>814985802</v>
      </c>
      <c r="BF831" s="30">
        <f t="shared" si="104"/>
        <v>1344332097</v>
      </c>
      <c r="BG831" s="18">
        <f t="shared" si="105"/>
        <v>0</v>
      </c>
      <c r="BH831" s="23"/>
      <c r="BI831" s="23"/>
      <c r="BJ831" s="23"/>
    </row>
    <row r="832" spans="1:66" ht="15" customHeight="1" x14ac:dyDescent="0.2">
      <c r="A832" s="1">
        <v>8911800566</v>
      </c>
      <c r="B832" s="1">
        <v>891180056</v>
      </c>
      <c r="C832" s="15">
        <v>216841668</v>
      </c>
      <c r="D832" s="16" t="s">
        <v>619</v>
      </c>
      <c r="E832" s="41" t="s">
        <v>1639</v>
      </c>
      <c r="F832" s="28"/>
      <c r="G832" s="2"/>
      <c r="H832" s="3"/>
      <c r="I832" s="2"/>
      <c r="J832" s="29"/>
      <c r="K832" s="3"/>
      <c r="L832" s="2"/>
      <c r="M832" s="8"/>
      <c r="N832" s="3"/>
      <c r="O832" s="2"/>
      <c r="P832" s="3"/>
      <c r="Q832" s="2"/>
      <c r="R832" s="3"/>
      <c r="S832" s="3"/>
      <c r="T832" s="2"/>
      <c r="U832" s="8">
        <f t="shared" si="100"/>
        <v>0</v>
      </c>
      <c r="V832" s="8"/>
      <c r="W832" s="8"/>
      <c r="X832" s="8"/>
      <c r="Y832" s="8"/>
      <c r="Z832" s="8"/>
      <c r="AA832" s="8"/>
      <c r="AB832" s="8"/>
      <c r="AC832" s="8">
        <f t="shared" si="101"/>
        <v>0</v>
      </c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>
        <v>218483400</v>
      </c>
      <c r="AZ832" s="8"/>
      <c r="BA832" s="8">
        <f>VLOOKUP(B832,[1]Hoja3!J$3:K$674,2,0)</f>
        <v>480705104</v>
      </c>
      <c r="BB832" s="8"/>
      <c r="BC832" s="8">
        <f t="shared" si="102"/>
        <v>699188504</v>
      </c>
      <c r="BD832" s="4">
        <v>218483400</v>
      </c>
      <c r="BE832" s="4">
        <f t="shared" si="103"/>
        <v>480705104</v>
      </c>
      <c r="BF832" s="30">
        <f t="shared" si="104"/>
        <v>699188504</v>
      </c>
      <c r="BG832" s="18">
        <f t="shared" si="105"/>
        <v>0</v>
      </c>
      <c r="BH832" s="23"/>
      <c r="BI832" s="23"/>
      <c r="BJ832" s="23"/>
    </row>
    <row r="833" spans="1:66" ht="15" customHeight="1" x14ac:dyDescent="0.2">
      <c r="A833" s="1">
        <v>8000966192</v>
      </c>
      <c r="B833" s="1">
        <v>800096619</v>
      </c>
      <c r="C833" s="15">
        <v>211020710</v>
      </c>
      <c r="D833" s="16" t="s">
        <v>433</v>
      </c>
      <c r="E833" s="41" t="s">
        <v>1460</v>
      </c>
      <c r="F833" s="28"/>
      <c r="G833" s="2"/>
      <c r="H833" s="3"/>
      <c r="I833" s="2"/>
      <c r="J833" s="29"/>
      <c r="K833" s="3"/>
      <c r="L833" s="2"/>
      <c r="M833" s="8"/>
      <c r="N833" s="3"/>
      <c r="O833" s="2"/>
      <c r="P833" s="3"/>
      <c r="Q833" s="2"/>
      <c r="R833" s="3"/>
      <c r="S833" s="3"/>
      <c r="T833" s="2"/>
      <c r="U833" s="8">
        <f t="shared" si="100"/>
        <v>0</v>
      </c>
      <c r="V833" s="8"/>
      <c r="W833" s="8"/>
      <c r="X833" s="8"/>
      <c r="Y833" s="8"/>
      <c r="Z833" s="8"/>
      <c r="AA833" s="8"/>
      <c r="AB833" s="8"/>
      <c r="AC833" s="8">
        <f t="shared" si="101"/>
        <v>0</v>
      </c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>
        <v>158666010</v>
      </c>
      <c r="AZ833" s="8"/>
      <c r="BA833" s="8">
        <f>VLOOKUP(B833,[1]Hoja3!J$3:K$674,2,0)</f>
        <v>341217894</v>
      </c>
      <c r="BB833" s="8"/>
      <c r="BC833" s="8">
        <f t="shared" si="102"/>
        <v>499883904</v>
      </c>
      <c r="BD833" s="4">
        <v>158666010</v>
      </c>
      <c r="BE833" s="4">
        <f t="shared" si="103"/>
        <v>341217894</v>
      </c>
      <c r="BF833" s="30">
        <f t="shared" si="104"/>
        <v>499883904</v>
      </c>
      <c r="BG833" s="18">
        <f t="shared" si="105"/>
        <v>0</v>
      </c>
      <c r="BH833" s="23"/>
      <c r="BI833" s="23"/>
      <c r="BJ833" s="23"/>
    </row>
    <row r="834" spans="1:66" ht="15" customHeight="1" x14ac:dyDescent="0.2">
      <c r="A834" s="1">
        <v>8000752319</v>
      </c>
      <c r="B834" s="1">
        <v>800075231</v>
      </c>
      <c r="C834" s="15">
        <v>217023670</v>
      </c>
      <c r="D834" s="16" t="s">
        <v>2202</v>
      </c>
      <c r="E834" s="41" t="s">
        <v>1481</v>
      </c>
      <c r="F834" s="28"/>
      <c r="G834" s="2"/>
      <c r="H834" s="3"/>
      <c r="I834" s="2"/>
      <c r="J834" s="29"/>
      <c r="K834" s="3"/>
      <c r="L834" s="2"/>
      <c r="M834" s="8"/>
      <c r="N834" s="3"/>
      <c r="O834" s="2"/>
      <c r="P834" s="3"/>
      <c r="Q834" s="2"/>
      <c r="R834" s="3"/>
      <c r="S834" s="3"/>
      <c r="T834" s="2"/>
      <c r="U834" s="8">
        <f t="shared" si="100"/>
        <v>0</v>
      </c>
      <c r="V834" s="8"/>
      <c r="W834" s="8"/>
      <c r="X834" s="8"/>
      <c r="Y834" s="8"/>
      <c r="Z834" s="8"/>
      <c r="AA834" s="8"/>
      <c r="AB834" s="8"/>
      <c r="AC834" s="8">
        <f t="shared" si="101"/>
        <v>0</v>
      </c>
      <c r="AD834" s="8"/>
      <c r="AE834" s="8"/>
      <c r="AF834" s="8"/>
      <c r="AG834" s="8"/>
      <c r="AH834" s="8"/>
      <c r="AI834" s="8"/>
      <c r="AJ834" s="8"/>
      <c r="AK834" s="8"/>
      <c r="AL834" s="8"/>
      <c r="AM834" s="8">
        <v>109164563</v>
      </c>
      <c r="AN834" s="8">
        <f>SUBTOTAL(9,AC834:AM834)</f>
        <v>109164563</v>
      </c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>
        <v>676388270</v>
      </c>
      <c r="AZ834" s="8"/>
      <c r="BA834" s="8"/>
      <c r="BB834" s="8"/>
      <c r="BC834" s="8">
        <f t="shared" si="102"/>
        <v>785552833</v>
      </c>
      <c r="BD834" s="4">
        <v>676388270</v>
      </c>
      <c r="BE834" s="4">
        <f t="shared" si="103"/>
        <v>109164563</v>
      </c>
      <c r="BF834" s="30">
        <f t="shared" si="104"/>
        <v>785552833</v>
      </c>
      <c r="BG834" s="18">
        <f t="shared" si="105"/>
        <v>0</v>
      </c>
      <c r="BH834" s="23"/>
      <c r="BI834" s="23"/>
      <c r="BJ834" s="23"/>
    </row>
    <row r="835" spans="1:66" ht="15" customHeight="1" x14ac:dyDescent="0.2">
      <c r="A835" s="1">
        <v>8909818683</v>
      </c>
      <c r="B835" s="1">
        <v>890981868</v>
      </c>
      <c r="C835" s="15">
        <v>214705647</v>
      </c>
      <c r="D835" s="16" t="s">
        <v>127</v>
      </c>
      <c r="E835" s="41" t="s">
        <v>1122</v>
      </c>
      <c r="F835" s="28"/>
      <c r="G835" s="17"/>
      <c r="H835" s="3"/>
      <c r="I835" s="2"/>
      <c r="J835" s="29"/>
      <c r="K835" s="3"/>
      <c r="L835" s="17"/>
      <c r="M835" s="34"/>
      <c r="N835" s="3"/>
      <c r="O835" s="17"/>
      <c r="P835" s="3"/>
      <c r="Q835" s="2"/>
      <c r="R835" s="3"/>
      <c r="S835" s="3"/>
      <c r="T835" s="17"/>
      <c r="U835" s="8">
        <f t="shared" ref="U835:U898" si="108">SUM(M835:T835)</f>
        <v>0</v>
      </c>
      <c r="V835" s="8"/>
      <c r="W835" s="8"/>
      <c r="X835" s="8"/>
      <c r="Y835" s="8"/>
      <c r="Z835" s="8"/>
      <c r="AA835" s="8"/>
      <c r="AB835" s="8"/>
      <c r="AC835" s="8">
        <f t="shared" si="101"/>
        <v>0</v>
      </c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>
        <v>47041855</v>
      </c>
      <c r="AZ835" s="8"/>
      <c r="BA835" s="8">
        <f>VLOOKUP(B835,[1]Hoja3!J$3:K$674,2,0)</f>
        <v>103780690</v>
      </c>
      <c r="BB835" s="8"/>
      <c r="BC835" s="8">
        <f t="shared" si="102"/>
        <v>150822545</v>
      </c>
      <c r="BD835" s="4">
        <v>47041855</v>
      </c>
      <c r="BE835" s="4">
        <f t="shared" si="103"/>
        <v>103780690</v>
      </c>
      <c r="BF835" s="30">
        <f t="shared" si="104"/>
        <v>150822545</v>
      </c>
      <c r="BG835" s="18">
        <f t="shared" si="105"/>
        <v>0</v>
      </c>
      <c r="BH835" s="23"/>
      <c r="BI835" s="14"/>
      <c r="BJ835" s="14"/>
      <c r="BK835" s="14"/>
      <c r="BL835" s="14"/>
      <c r="BM835" s="14"/>
      <c r="BN835" s="14"/>
    </row>
    <row r="836" spans="1:66" ht="15" customHeight="1" x14ac:dyDescent="0.2">
      <c r="A836" s="1">
        <v>8902070221</v>
      </c>
      <c r="B836" s="1">
        <v>890207022</v>
      </c>
      <c r="C836" s="15">
        <v>216968669</v>
      </c>
      <c r="D836" s="16" t="s">
        <v>873</v>
      </c>
      <c r="E836" s="41" t="s">
        <v>1886</v>
      </c>
      <c r="F836" s="28"/>
      <c r="G836" s="2"/>
      <c r="H836" s="3"/>
      <c r="I836" s="2"/>
      <c r="J836" s="29"/>
      <c r="K836" s="3"/>
      <c r="L836" s="2"/>
      <c r="M836" s="8"/>
      <c r="N836" s="3"/>
      <c r="O836" s="2"/>
      <c r="P836" s="3"/>
      <c r="Q836" s="2"/>
      <c r="R836" s="3"/>
      <c r="S836" s="3"/>
      <c r="T836" s="2"/>
      <c r="U836" s="8">
        <f t="shared" si="108"/>
        <v>0</v>
      </c>
      <c r="V836" s="8"/>
      <c r="W836" s="8"/>
      <c r="X836" s="8"/>
      <c r="Y836" s="8"/>
      <c r="Z836" s="8"/>
      <c r="AA836" s="8"/>
      <c r="AB836" s="8"/>
      <c r="AC836" s="8">
        <f t="shared" ref="AC836:AC899" si="109">SUM(U836:AB836)</f>
        <v>0</v>
      </c>
      <c r="AD836" s="8"/>
      <c r="AE836" s="8"/>
      <c r="AF836" s="8"/>
      <c r="AG836" s="8"/>
      <c r="AH836" s="8"/>
      <c r="AI836" s="8"/>
      <c r="AJ836" s="8"/>
      <c r="AK836" s="8"/>
      <c r="AL836" s="8"/>
      <c r="AM836" s="8">
        <v>19354654</v>
      </c>
      <c r="AN836" s="8">
        <f>SUBTOTAL(9,AC836:AM836)</f>
        <v>19354654</v>
      </c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>
        <v>67970400</v>
      </c>
      <c r="AZ836" s="8"/>
      <c r="BA836" s="8">
        <f>VLOOKUP(B836,[1]Hoja3!J$3:K$674,2,0)</f>
        <v>65097972</v>
      </c>
      <c r="BB836" s="8"/>
      <c r="BC836" s="8">
        <f t="shared" ref="BC836:BC899" si="110">SUM(AN836:BA836)-BB836</f>
        <v>152423026</v>
      </c>
      <c r="BD836" s="4">
        <v>67970400</v>
      </c>
      <c r="BE836" s="4">
        <f t="shared" ref="BE836:BE899" si="111">+AM836+BA836-BB836</f>
        <v>84452626</v>
      </c>
      <c r="BF836" s="30">
        <f t="shared" ref="BF836:BF899" si="112">+BD836+BE836</f>
        <v>152423026</v>
      </c>
      <c r="BG836" s="18">
        <f t="shared" ref="BG836:BG899" si="113">+BC836-BF836</f>
        <v>0</v>
      </c>
      <c r="BH836" s="23"/>
      <c r="BI836" s="23"/>
      <c r="BJ836" s="23"/>
    </row>
    <row r="837" spans="1:66" ht="15" customHeight="1" x14ac:dyDescent="0.2">
      <c r="A837" s="1">
        <v>8000967818</v>
      </c>
      <c r="B837" s="1">
        <v>800096781</v>
      </c>
      <c r="C837" s="15">
        <v>217223672</v>
      </c>
      <c r="D837" s="16" t="s">
        <v>455</v>
      </c>
      <c r="E837" s="41" t="s">
        <v>1482</v>
      </c>
      <c r="F837" s="28"/>
      <c r="G837" s="2"/>
      <c r="H837" s="3"/>
      <c r="I837" s="2"/>
      <c r="J837" s="29"/>
      <c r="K837" s="3"/>
      <c r="L837" s="2"/>
      <c r="M837" s="8"/>
      <c r="N837" s="3"/>
      <c r="O837" s="2"/>
      <c r="P837" s="3"/>
      <c r="Q837" s="2"/>
      <c r="R837" s="3"/>
      <c r="S837" s="3"/>
      <c r="T837" s="2"/>
      <c r="U837" s="8">
        <f t="shared" si="108"/>
        <v>0</v>
      </c>
      <c r="V837" s="8"/>
      <c r="W837" s="8"/>
      <c r="X837" s="8"/>
      <c r="Y837" s="8"/>
      <c r="Z837" s="8"/>
      <c r="AA837" s="8"/>
      <c r="AB837" s="8"/>
      <c r="AC837" s="8">
        <f t="shared" si="109"/>
        <v>0</v>
      </c>
      <c r="AD837" s="8"/>
      <c r="AE837" s="8"/>
      <c r="AF837" s="8"/>
      <c r="AG837" s="8"/>
      <c r="AH837" s="8"/>
      <c r="AI837" s="8"/>
      <c r="AJ837" s="8"/>
      <c r="AK837" s="8"/>
      <c r="AL837" s="8"/>
      <c r="AM837" s="8">
        <v>630256153</v>
      </c>
      <c r="AN837" s="8">
        <f>SUBTOTAL(9,AC837:AM837)</f>
        <v>630256153</v>
      </c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>
        <f t="shared" si="110"/>
        <v>630256153</v>
      </c>
      <c r="BD837" s="4"/>
      <c r="BE837" s="4">
        <f t="shared" si="111"/>
        <v>630256153</v>
      </c>
      <c r="BF837" s="30">
        <f t="shared" si="112"/>
        <v>630256153</v>
      </c>
      <c r="BG837" s="18">
        <f t="shared" si="113"/>
        <v>0</v>
      </c>
      <c r="BH837" s="23"/>
      <c r="BI837" s="23"/>
      <c r="BJ837" s="23"/>
    </row>
    <row r="838" spans="1:66" ht="15" customHeight="1" x14ac:dyDescent="0.2">
      <c r="A838" s="1">
        <v>8605270461</v>
      </c>
      <c r="B838" s="1">
        <v>860527046</v>
      </c>
      <c r="C838" s="15">
        <v>214525645</v>
      </c>
      <c r="D838" s="16" t="s">
        <v>2123</v>
      </c>
      <c r="E838" s="41" t="s">
        <v>1556</v>
      </c>
      <c r="F838" s="28"/>
      <c r="G838" s="2"/>
      <c r="H838" s="3"/>
      <c r="I838" s="2"/>
      <c r="J838" s="29"/>
      <c r="K838" s="3"/>
      <c r="L838" s="2"/>
      <c r="M838" s="8"/>
      <c r="N838" s="3"/>
      <c r="O838" s="2"/>
      <c r="P838" s="3"/>
      <c r="Q838" s="2"/>
      <c r="R838" s="3"/>
      <c r="S838" s="3"/>
      <c r="T838" s="2"/>
      <c r="U838" s="8">
        <f t="shared" si="108"/>
        <v>0</v>
      </c>
      <c r="V838" s="8"/>
      <c r="W838" s="8"/>
      <c r="X838" s="8"/>
      <c r="Y838" s="8"/>
      <c r="Z838" s="8"/>
      <c r="AA838" s="8"/>
      <c r="AB838" s="8"/>
      <c r="AC838" s="8">
        <f t="shared" si="109"/>
        <v>0</v>
      </c>
      <c r="AD838" s="8"/>
      <c r="AE838" s="8"/>
      <c r="AF838" s="8"/>
      <c r="AG838" s="8"/>
      <c r="AH838" s="8"/>
      <c r="AI838" s="8"/>
      <c r="AJ838" s="8"/>
      <c r="AK838" s="8"/>
      <c r="AL838" s="8"/>
      <c r="AM838" s="8">
        <v>58756097</v>
      </c>
      <c r="AN838" s="8">
        <f>SUBTOTAL(9,AC838:AM838)</f>
        <v>58756097</v>
      </c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>
        <f>VLOOKUP(B838,[1]Hoja3!J$3:K$674,2,0)</f>
        <v>93543776</v>
      </c>
      <c r="BB838" s="8"/>
      <c r="BC838" s="8">
        <f t="shared" si="110"/>
        <v>152299873</v>
      </c>
      <c r="BD838" s="4"/>
      <c r="BE838" s="4">
        <f t="shared" si="111"/>
        <v>152299873</v>
      </c>
      <c r="BF838" s="30">
        <f t="shared" si="112"/>
        <v>152299873</v>
      </c>
      <c r="BG838" s="18">
        <f t="shared" si="113"/>
        <v>0</v>
      </c>
      <c r="BH838" s="23"/>
      <c r="BI838" s="23"/>
      <c r="BJ838" s="23"/>
    </row>
    <row r="839" spans="1:66" ht="15" customHeight="1" x14ac:dyDescent="0.2">
      <c r="A839" s="1">
        <v>8001001411</v>
      </c>
      <c r="B839" s="1">
        <v>800100141</v>
      </c>
      <c r="C839" s="15">
        <v>217573675</v>
      </c>
      <c r="D839" s="16" t="s">
        <v>2239</v>
      </c>
      <c r="E839" s="41" t="s">
        <v>1966</v>
      </c>
      <c r="F839" s="28"/>
      <c r="G839" s="2"/>
      <c r="H839" s="3"/>
      <c r="I839" s="2"/>
      <c r="J839" s="29"/>
      <c r="K839" s="3"/>
      <c r="L839" s="2"/>
      <c r="M839" s="8"/>
      <c r="N839" s="3"/>
      <c r="O839" s="2"/>
      <c r="P839" s="3"/>
      <c r="Q839" s="2"/>
      <c r="R839" s="3"/>
      <c r="S839" s="3"/>
      <c r="T839" s="2"/>
      <c r="U839" s="8">
        <f t="shared" si="108"/>
        <v>0</v>
      </c>
      <c r="V839" s="8"/>
      <c r="W839" s="8"/>
      <c r="X839" s="8"/>
      <c r="Y839" s="8"/>
      <c r="Z839" s="8"/>
      <c r="AA839" s="8"/>
      <c r="AB839" s="8"/>
      <c r="AC839" s="8">
        <f t="shared" si="109"/>
        <v>0</v>
      </c>
      <c r="AD839" s="8"/>
      <c r="AE839" s="8"/>
      <c r="AF839" s="8"/>
      <c r="AG839" s="8"/>
      <c r="AH839" s="8"/>
      <c r="AI839" s="8"/>
      <c r="AJ839" s="8"/>
      <c r="AK839" s="8"/>
      <c r="AL839" s="8"/>
      <c r="AM839" s="8">
        <v>67183970</v>
      </c>
      <c r="AN839" s="8">
        <f>SUBTOTAL(9,AC839:AM839)</f>
        <v>67183970</v>
      </c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>
        <v>119609340</v>
      </c>
      <c r="AZ839" s="8"/>
      <c r="BA839" s="8">
        <f>VLOOKUP(B839,[1]Hoja3!J$3:K$674,2,0)</f>
        <v>176541768</v>
      </c>
      <c r="BB839" s="8"/>
      <c r="BC839" s="8">
        <f t="shared" si="110"/>
        <v>363335078</v>
      </c>
      <c r="BD839" s="4">
        <v>119609340</v>
      </c>
      <c r="BE839" s="4">
        <f t="shared" si="111"/>
        <v>243725738</v>
      </c>
      <c r="BF839" s="30">
        <f t="shared" si="112"/>
        <v>363335078</v>
      </c>
      <c r="BG839" s="18">
        <f t="shared" si="113"/>
        <v>0</v>
      </c>
      <c r="BH839" s="23"/>
      <c r="BI839" s="23"/>
      <c r="BJ839" s="23"/>
    </row>
    <row r="840" spans="1:66" ht="15" customHeight="1" x14ac:dyDescent="0.2">
      <c r="A840" s="1">
        <v>8922800544</v>
      </c>
      <c r="B840" s="1">
        <v>892280054</v>
      </c>
      <c r="C840" s="15">
        <v>217870678</v>
      </c>
      <c r="D840" s="16" t="s">
        <v>906</v>
      </c>
      <c r="E840" s="41" t="s">
        <v>1920</v>
      </c>
      <c r="F840" s="28"/>
      <c r="G840" s="2"/>
      <c r="H840" s="3"/>
      <c r="I840" s="2"/>
      <c r="J840" s="29"/>
      <c r="K840" s="3"/>
      <c r="L840" s="2"/>
      <c r="M840" s="8"/>
      <c r="N840" s="3"/>
      <c r="O840" s="2"/>
      <c r="P840" s="3"/>
      <c r="Q840" s="2"/>
      <c r="R840" s="3"/>
      <c r="S840" s="3"/>
      <c r="T840" s="2"/>
      <c r="U840" s="8">
        <f t="shared" si="108"/>
        <v>0</v>
      </c>
      <c r="V840" s="8"/>
      <c r="W840" s="8"/>
      <c r="X840" s="8"/>
      <c r="Y840" s="8"/>
      <c r="Z840" s="8"/>
      <c r="AA840" s="8"/>
      <c r="AB840" s="8"/>
      <c r="AC840" s="8">
        <f t="shared" si="109"/>
        <v>0</v>
      </c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>
        <f>VLOOKUP(B840,[1]Hoja3!J$3:K$674,2,0)</f>
        <v>519555219</v>
      </c>
      <c r="BB840" s="8"/>
      <c r="BC840" s="8">
        <f t="shared" si="110"/>
        <v>519555219</v>
      </c>
      <c r="BD840" s="4"/>
      <c r="BE840" s="4">
        <f t="shared" si="111"/>
        <v>519555219</v>
      </c>
      <c r="BF840" s="30">
        <f t="shared" si="112"/>
        <v>519555219</v>
      </c>
      <c r="BG840" s="18">
        <f t="shared" si="113"/>
        <v>0</v>
      </c>
      <c r="BH840" s="23"/>
      <c r="BI840" s="23"/>
      <c r="BJ840" s="23"/>
    </row>
    <row r="841" spans="1:66" ht="15" customHeight="1" x14ac:dyDescent="0.2">
      <c r="A841" s="1">
        <v>8902102275</v>
      </c>
      <c r="B841" s="1">
        <v>890210227</v>
      </c>
      <c r="C841" s="15">
        <v>217368673</v>
      </c>
      <c r="D841" s="16" t="s">
        <v>874</v>
      </c>
      <c r="E841" s="41" t="s">
        <v>1887</v>
      </c>
      <c r="F841" s="28"/>
      <c r="G841" s="2"/>
      <c r="H841" s="3"/>
      <c r="I841" s="2"/>
      <c r="J841" s="29"/>
      <c r="K841" s="3"/>
      <c r="L841" s="2"/>
      <c r="M841" s="8"/>
      <c r="N841" s="3"/>
      <c r="O841" s="2"/>
      <c r="P841" s="3"/>
      <c r="Q841" s="2"/>
      <c r="R841" s="3"/>
      <c r="S841" s="3"/>
      <c r="T841" s="2"/>
      <c r="U841" s="8">
        <f t="shared" si="108"/>
        <v>0</v>
      </c>
      <c r="V841" s="8"/>
      <c r="W841" s="8"/>
      <c r="X841" s="8"/>
      <c r="Y841" s="8"/>
      <c r="Z841" s="8"/>
      <c r="AA841" s="8"/>
      <c r="AB841" s="8"/>
      <c r="AC841" s="8">
        <f t="shared" si="109"/>
        <v>0</v>
      </c>
      <c r="AD841" s="8"/>
      <c r="AE841" s="8"/>
      <c r="AF841" s="8"/>
      <c r="AG841" s="8"/>
      <c r="AH841" s="8"/>
      <c r="AI841" s="8"/>
      <c r="AJ841" s="8"/>
      <c r="AK841" s="8"/>
      <c r="AL841" s="8"/>
      <c r="AM841" s="8">
        <v>19224243</v>
      </c>
      <c r="AN841" s="8">
        <f t="shared" ref="AN841:AN846" si="114">SUBTOTAL(9,AC841:AM841)</f>
        <v>19224243</v>
      </c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>
        <v>19220210</v>
      </c>
      <c r="AZ841" s="8"/>
      <c r="BA841" s="8">
        <f>VLOOKUP(B841,[1]Hoja3!J$3:K$674,2,0)</f>
        <v>19643415</v>
      </c>
      <c r="BB841" s="8"/>
      <c r="BC841" s="8">
        <f t="shared" si="110"/>
        <v>58087868</v>
      </c>
      <c r="BD841" s="4">
        <v>19220210</v>
      </c>
      <c r="BE841" s="4">
        <f t="shared" si="111"/>
        <v>38867658</v>
      </c>
      <c r="BF841" s="30">
        <f t="shared" si="112"/>
        <v>58087868</v>
      </c>
      <c r="BG841" s="18">
        <f t="shared" si="113"/>
        <v>0</v>
      </c>
      <c r="BH841" s="23"/>
      <c r="BI841" s="23"/>
      <c r="BJ841" s="23"/>
    </row>
    <row r="842" spans="1:66" ht="15" customHeight="1" x14ac:dyDescent="0.2">
      <c r="A842" s="1">
        <v>8000968049</v>
      </c>
      <c r="B842" s="1">
        <v>800096804</v>
      </c>
      <c r="C842" s="15">
        <v>217523675</v>
      </c>
      <c r="D842" s="16" t="s">
        <v>2115</v>
      </c>
      <c r="E842" s="41" t="s">
        <v>1483</v>
      </c>
      <c r="F842" s="28"/>
      <c r="G842" s="2"/>
      <c r="H842" s="3"/>
      <c r="I842" s="2"/>
      <c r="J842" s="29"/>
      <c r="K842" s="3"/>
      <c r="L842" s="2"/>
      <c r="M842" s="8"/>
      <c r="N842" s="3"/>
      <c r="O842" s="2"/>
      <c r="P842" s="3"/>
      <c r="Q842" s="2"/>
      <c r="R842" s="3"/>
      <c r="S842" s="3"/>
      <c r="T842" s="2"/>
      <c r="U842" s="8">
        <f t="shared" si="108"/>
        <v>0</v>
      </c>
      <c r="V842" s="8"/>
      <c r="W842" s="8"/>
      <c r="X842" s="8"/>
      <c r="Y842" s="8"/>
      <c r="Z842" s="8"/>
      <c r="AA842" s="8"/>
      <c r="AB842" s="8"/>
      <c r="AC842" s="8">
        <f t="shared" si="109"/>
        <v>0</v>
      </c>
      <c r="AD842" s="8"/>
      <c r="AE842" s="8"/>
      <c r="AF842" s="8"/>
      <c r="AG842" s="8"/>
      <c r="AH842" s="8"/>
      <c r="AI842" s="8"/>
      <c r="AJ842" s="8"/>
      <c r="AK842" s="8"/>
      <c r="AL842" s="8"/>
      <c r="AM842" s="8">
        <v>523822108</v>
      </c>
      <c r="AN842" s="8">
        <f t="shared" si="114"/>
        <v>523822108</v>
      </c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>
        <v>374686345</v>
      </c>
      <c r="AZ842" s="8"/>
      <c r="BA842" s="8">
        <f>VLOOKUP(B842,[1]Hoja3!J$3:K$674,2,0)</f>
        <v>40074503</v>
      </c>
      <c r="BB842" s="8"/>
      <c r="BC842" s="8">
        <f t="shared" si="110"/>
        <v>938582956</v>
      </c>
      <c r="BD842" s="4">
        <v>374686345</v>
      </c>
      <c r="BE842" s="4">
        <f t="shared" si="111"/>
        <v>563896611</v>
      </c>
      <c r="BF842" s="30">
        <f t="shared" si="112"/>
        <v>938582956</v>
      </c>
      <c r="BG842" s="18">
        <f t="shared" si="113"/>
        <v>0</v>
      </c>
      <c r="BH842" s="23"/>
      <c r="BI842" s="23"/>
      <c r="BJ842" s="23"/>
    </row>
    <row r="843" spans="1:66" ht="15" customHeight="1" x14ac:dyDescent="0.2">
      <c r="A843" s="1">
        <v>8000934375</v>
      </c>
      <c r="B843" s="1">
        <v>800093437</v>
      </c>
      <c r="C843" s="15">
        <v>214925649</v>
      </c>
      <c r="D843" s="16" t="s">
        <v>531</v>
      </c>
      <c r="E843" s="41" t="s">
        <v>1557</v>
      </c>
      <c r="F843" s="28"/>
      <c r="G843" s="2"/>
      <c r="H843" s="3"/>
      <c r="I843" s="2"/>
      <c r="J843" s="29"/>
      <c r="K843" s="3"/>
      <c r="L843" s="2"/>
      <c r="M843" s="8"/>
      <c r="N843" s="3"/>
      <c r="O843" s="2"/>
      <c r="P843" s="3"/>
      <c r="Q843" s="2"/>
      <c r="R843" s="3"/>
      <c r="S843" s="3"/>
      <c r="T843" s="2"/>
      <c r="U843" s="8">
        <f t="shared" si="108"/>
        <v>0</v>
      </c>
      <c r="V843" s="8"/>
      <c r="W843" s="8"/>
      <c r="X843" s="8"/>
      <c r="Y843" s="8"/>
      <c r="Z843" s="8"/>
      <c r="AA843" s="8"/>
      <c r="AB843" s="8"/>
      <c r="AC843" s="8">
        <f t="shared" si="109"/>
        <v>0</v>
      </c>
      <c r="AD843" s="8"/>
      <c r="AE843" s="8"/>
      <c r="AF843" s="8"/>
      <c r="AG843" s="8"/>
      <c r="AH843" s="8"/>
      <c r="AI843" s="8"/>
      <c r="AJ843" s="8"/>
      <c r="AK843" s="8"/>
      <c r="AL843" s="8"/>
      <c r="AM843" s="8">
        <v>155952926</v>
      </c>
      <c r="AN843" s="8">
        <f t="shared" si="114"/>
        <v>155952926</v>
      </c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>
        <v>73920050</v>
      </c>
      <c r="AZ843" s="8"/>
      <c r="BA843" s="8"/>
      <c r="BB843" s="8"/>
      <c r="BC843" s="8">
        <f t="shared" si="110"/>
        <v>229872976</v>
      </c>
      <c r="BD843" s="4">
        <v>73920050</v>
      </c>
      <c r="BE843" s="4">
        <f t="shared" si="111"/>
        <v>155952926</v>
      </c>
      <c r="BF843" s="30">
        <f t="shared" si="112"/>
        <v>229872976</v>
      </c>
      <c r="BG843" s="18">
        <f t="shared" si="113"/>
        <v>0</v>
      </c>
      <c r="BH843" s="23"/>
      <c r="BI843" s="23"/>
      <c r="BJ843" s="23"/>
    </row>
    <row r="844" spans="1:66" ht="15" customHeight="1" x14ac:dyDescent="0.2">
      <c r="A844" s="1">
        <v>8001930318</v>
      </c>
      <c r="B844" s="1">
        <v>800193031</v>
      </c>
      <c r="C844" s="15">
        <v>218552685</v>
      </c>
      <c r="D844" s="16" t="s">
        <v>740</v>
      </c>
      <c r="E844" s="41" t="s">
        <v>1736</v>
      </c>
      <c r="F844" s="28"/>
      <c r="G844" s="17"/>
      <c r="H844" s="3"/>
      <c r="I844" s="2"/>
      <c r="J844" s="29"/>
      <c r="K844" s="3"/>
      <c r="L844" s="17"/>
      <c r="M844" s="34"/>
      <c r="N844" s="3"/>
      <c r="O844" s="17"/>
      <c r="P844" s="3"/>
      <c r="Q844" s="2"/>
      <c r="R844" s="3"/>
      <c r="S844" s="3"/>
      <c r="T844" s="17"/>
      <c r="U844" s="8">
        <f t="shared" si="108"/>
        <v>0</v>
      </c>
      <c r="V844" s="8"/>
      <c r="W844" s="8"/>
      <c r="X844" s="8"/>
      <c r="Y844" s="8"/>
      <c r="Z844" s="8"/>
      <c r="AA844" s="8"/>
      <c r="AB844" s="8"/>
      <c r="AC844" s="8">
        <f t="shared" si="109"/>
        <v>0</v>
      </c>
      <c r="AD844" s="8"/>
      <c r="AE844" s="8"/>
      <c r="AF844" s="8"/>
      <c r="AG844" s="8"/>
      <c r="AH844" s="8"/>
      <c r="AI844" s="8"/>
      <c r="AJ844" s="8"/>
      <c r="AK844" s="8"/>
      <c r="AL844" s="8"/>
      <c r="AM844" s="8">
        <v>84361079</v>
      </c>
      <c r="AN844" s="8">
        <f t="shared" si="114"/>
        <v>84361079</v>
      </c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>
        <v>54015170</v>
      </c>
      <c r="AZ844" s="8"/>
      <c r="BA844" s="8"/>
      <c r="BB844" s="8"/>
      <c r="BC844" s="8">
        <f t="shared" si="110"/>
        <v>138376249</v>
      </c>
      <c r="BD844" s="4">
        <v>54015170</v>
      </c>
      <c r="BE844" s="4">
        <f t="shared" si="111"/>
        <v>84361079</v>
      </c>
      <c r="BF844" s="30">
        <f t="shared" si="112"/>
        <v>138376249</v>
      </c>
      <c r="BG844" s="18">
        <f t="shared" si="113"/>
        <v>0</v>
      </c>
      <c r="BH844" s="23"/>
      <c r="BI844" s="14"/>
      <c r="BJ844" s="14"/>
      <c r="BK844" s="14"/>
      <c r="BL844" s="14"/>
      <c r="BM844" s="14"/>
      <c r="BN844" s="14"/>
    </row>
    <row r="845" spans="1:66" ht="15" customHeight="1" x14ac:dyDescent="0.2">
      <c r="A845" s="1">
        <v>8000992606</v>
      </c>
      <c r="B845" s="1">
        <v>800099260</v>
      </c>
      <c r="C845" s="15">
        <v>217054670</v>
      </c>
      <c r="D845" s="16" t="s">
        <v>780</v>
      </c>
      <c r="E845" s="41" t="s">
        <v>1797</v>
      </c>
      <c r="F845" s="28"/>
      <c r="G845" s="2"/>
      <c r="H845" s="3"/>
      <c r="I845" s="2"/>
      <c r="J845" s="29"/>
      <c r="K845" s="3"/>
      <c r="L845" s="2"/>
      <c r="M845" s="8"/>
      <c r="N845" s="3"/>
      <c r="O845" s="2"/>
      <c r="P845" s="3"/>
      <c r="Q845" s="2"/>
      <c r="R845" s="3"/>
      <c r="S845" s="3"/>
      <c r="T845" s="2"/>
      <c r="U845" s="8">
        <f t="shared" si="108"/>
        <v>0</v>
      </c>
      <c r="V845" s="8"/>
      <c r="W845" s="8"/>
      <c r="X845" s="8"/>
      <c r="Y845" s="8"/>
      <c r="Z845" s="8"/>
      <c r="AA845" s="8"/>
      <c r="AB845" s="8"/>
      <c r="AC845" s="8">
        <f t="shared" si="109"/>
        <v>0</v>
      </c>
      <c r="AD845" s="8"/>
      <c r="AE845" s="8"/>
      <c r="AF845" s="8"/>
      <c r="AG845" s="8"/>
      <c r="AH845" s="8"/>
      <c r="AI845" s="8"/>
      <c r="AJ845" s="8"/>
      <c r="AK845" s="8"/>
      <c r="AL845" s="8"/>
      <c r="AM845" s="8">
        <v>44264459</v>
      </c>
      <c r="AN845" s="8">
        <f t="shared" si="114"/>
        <v>44264459</v>
      </c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>
        <v>132853365</v>
      </c>
      <c r="AZ845" s="8"/>
      <c r="BA845" s="8">
        <f>VLOOKUP(B845,[1]Hoja3!J$3:K$674,2,0)</f>
        <v>46482468</v>
      </c>
      <c r="BB845" s="8"/>
      <c r="BC845" s="8">
        <f t="shared" si="110"/>
        <v>223600292</v>
      </c>
      <c r="BD845" s="4">
        <v>132853365</v>
      </c>
      <c r="BE845" s="4">
        <f t="shared" si="111"/>
        <v>90746927</v>
      </c>
      <c r="BF845" s="30">
        <f t="shared" si="112"/>
        <v>223600292</v>
      </c>
      <c r="BG845" s="18">
        <f t="shared" si="113"/>
        <v>0</v>
      </c>
      <c r="BH845" s="23"/>
      <c r="BI845" s="23"/>
      <c r="BJ845" s="23"/>
    </row>
    <row r="846" spans="1:66" ht="15" customHeight="1" x14ac:dyDescent="0.2">
      <c r="A846" s="1">
        <v>8000982031</v>
      </c>
      <c r="B846" s="1">
        <v>800098203</v>
      </c>
      <c r="C846" s="15">
        <v>218050680</v>
      </c>
      <c r="D846" s="16" t="s">
        <v>2131</v>
      </c>
      <c r="E846" s="41" t="s">
        <v>1710</v>
      </c>
      <c r="F846" s="28"/>
      <c r="G846" s="2"/>
      <c r="H846" s="3"/>
      <c r="I846" s="2"/>
      <c r="J846" s="29"/>
      <c r="K846" s="3"/>
      <c r="L846" s="2"/>
      <c r="M846" s="8"/>
      <c r="N846" s="3"/>
      <c r="O846" s="2"/>
      <c r="P846" s="3"/>
      <c r="Q846" s="2"/>
      <c r="R846" s="3"/>
      <c r="S846" s="3"/>
      <c r="T846" s="2"/>
      <c r="U846" s="8">
        <f t="shared" si="108"/>
        <v>0</v>
      </c>
      <c r="V846" s="8"/>
      <c r="W846" s="8"/>
      <c r="X846" s="8"/>
      <c r="Y846" s="8"/>
      <c r="Z846" s="8"/>
      <c r="AA846" s="8"/>
      <c r="AB846" s="8"/>
      <c r="AC846" s="8">
        <f t="shared" si="109"/>
        <v>0</v>
      </c>
      <c r="AD846" s="8"/>
      <c r="AE846" s="8"/>
      <c r="AF846" s="8"/>
      <c r="AG846" s="8"/>
      <c r="AH846" s="8"/>
      <c r="AI846" s="8"/>
      <c r="AJ846" s="8"/>
      <c r="AK846" s="8"/>
      <c r="AL846" s="8"/>
      <c r="AM846" s="8">
        <v>105702620</v>
      </c>
      <c r="AN846" s="8">
        <f t="shared" si="114"/>
        <v>105702620</v>
      </c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>
        <v>80666215</v>
      </c>
      <c r="AZ846" s="8"/>
      <c r="BA846" s="8">
        <f>VLOOKUP(B846,[1]Hoja3!J$3:K$674,2,0)</f>
        <v>103255072</v>
      </c>
      <c r="BB846" s="8"/>
      <c r="BC846" s="8">
        <f t="shared" si="110"/>
        <v>289623907</v>
      </c>
      <c r="BD846" s="4">
        <v>80666215</v>
      </c>
      <c r="BE846" s="4">
        <f t="shared" si="111"/>
        <v>208957692</v>
      </c>
      <c r="BF846" s="30">
        <f t="shared" si="112"/>
        <v>289623907</v>
      </c>
      <c r="BG846" s="18">
        <f t="shared" si="113"/>
        <v>0</v>
      </c>
      <c r="BH846" s="23"/>
      <c r="BI846" s="23"/>
      <c r="BJ846" s="23"/>
    </row>
    <row r="847" spans="1:66" ht="15" customHeight="1" x14ac:dyDescent="0.2">
      <c r="A847" s="1">
        <v>8909837409</v>
      </c>
      <c r="B847" s="1">
        <v>890983740</v>
      </c>
      <c r="C847" s="15">
        <v>214905649</v>
      </c>
      <c r="D847" s="16" t="s">
        <v>128</v>
      </c>
      <c r="E847" s="41" t="s">
        <v>1156</v>
      </c>
      <c r="F847" s="28"/>
      <c r="G847" s="2"/>
      <c r="H847" s="3"/>
      <c r="I847" s="2"/>
      <c r="J847" s="29"/>
      <c r="K847" s="3"/>
      <c r="L847" s="2"/>
      <c r="M847" s="8"/>
      <c r="N847" s="3"/>
      <c r="O847" s="2"/>
      <c r="P847" s="3"/>
      <c r="Q847" s="2"/>
      <c r="R847" s="3"/>
      <c r="S847" s="3"/>
      <c r="T847" s="2"/>
      <c r="U847" s="8">
        <f t="shared" si="108"/>
        <v>0</v>
      </c>
      <c r="V847" s="8"/>
      <c r="W847" s="8"/>
      <c r="X847" s="8"/>
      <c r="Y847" s="8"/>
      <c r="Z847" s="8"/>
      <c r="AA847" s="8"/>
      <c r="AB847" s="8"/>
      <c r="AC847" s="8">
        <f t="shared" si="109"/>
        <v>0</v>
      </c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>
        <v>92121865</v>
      </c>
      <c r="AZ847" s="8"/>
      <c r="BA847" s="8">
        <f>VLOOKUP(B847,[1]Hoja3!J$3:K$674,2,0)</f>
        <v>211518500</v>
      </c>
      <c r="BB847" s="8"/>
      <c r="BC847" s="8">
        <f t="shared" si="110"/>
        <v>303640365</v>
      </c>
      <c r="BD847" s="4">
        <v>92121865</v>
      </c>
      <c r="BE847" s="4">
        <f t="shared" si="111"/>
        <v>211518500</v>
      </c>
      <c r="BF847" s="30">
        <f t="shared" si="112"/>
        <v>303640365</v>
      </c>
      <c r="BG847" s="18">
        <f t="shared" si="113"/>
        <v>0</v>
      </c>
      <c r="BH847" s="23"/>
      <c r="BI847" s="23"/>
      <c r="BJ847" s="23"/>
    </row>
    <row r="848" spans="1:66" ht="15" customHeight="1" x14ac:dyDescent="0.2">
      <c r="A848" s="1">
        <v>8000755377</v>
      </c>
      <c r="B848" s="1">
        <v>800075537</v>
      </c>
      <c r="C848" s="15">
        <v>217823678</v>
      </c>
      <c r="D848" s="16" t="s">
        <v>456</v>
      </c>
      <c r="E848" s="41" t="s">
        <v>1484</v>
      </c>
      <c r="F848" s="28"/>
      <c r="G848" s="17"/>
      <c r="H848" s="3"/>
      <c r="I848" s="2"/>
      <c r="J848" s="29"/>
      <c r="K848" s="3"/>
      <c r="L848" s="17"/>
      <c r="M848" s="34"/>
      <c r="N848" s="3"/>
      <c r="O848" s="17"/>
      <c r="P848" s="3"/>
      <c r="Q848" s="2"/>
      <c r="R848" s="3"/>
      <c r="S848" s="3"/>
      <c r="T848" s="17"/>
      <c r="U848" s="8">
        <f t="shared" si="108"/>
        <v>0</v>
      </c>
      <c r="V848" s="8"/>
      <c r="W848" s="8"/>
      <c r="X848" s="8"/>
      <c r="Y848" s="8"/>
      <c r="Z848" s="8"/>
      <c r="AA848" s="8"/>
      <c r="AB848" s="8"/>
      <c r="AC848" s="8">
        <f t="shared" si="109"/>
        <v>0</v>
      </c>
      <c r="AD848" s="8"/>
      <c r="AE848" s="8"/>
      <c r="AF848" s="8"/>
      <c r="AG848" s="8"/>
      <c r="AH848" s="8"/>
      <c r="AI848" s="8"/>
      <c r="AJ848" s="8"/>
      <c r="AK848" s="8"/>
      <c r="AL848" s="8"/>
      <c r="AM848" s="8">
        <v>280373146</v>
      </c>
      <c r="AN848" s="8">
        <f>SUBTOTAL(9,AC848:AM848)</f>
        <v>280373146</v>
      </c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>
        <v>259683020</v>
      </c>
      <c r="AZ848" s="8"/>
      <c r="BA848" s="8">
        <f>VLOOKUP(B848,[1]Hoja3!J$3:K$674,2,0)</f>
        <v>12838265</v>
      </c>
      <c r="BB848" s="8"/>
      <c r="BC848" s="8">
        <f t="shared" si="110"/>
        <v>552894431</v>
      </c>
      <c r="BD848" s="4">
        <v>259683020</v>
      </c>
      <c r="BE848" s="4">
        <f t="shared" si="111"/>
        <v>293211411</v>
      </c>
      <c r="BF848" s="30">
        <f t="shared" si="112"/>
        <v>552894431</v>
      </c>
      <c r="BG848" s="18">
        <f t="shared" si="113"/>
        <v>0</v>
      </c>
      <c r="BH848" s="23"/>
      <c r="BI848" s="14"/>
      <c r="BJ848" s="14"/>
      <c r="BK848" s="14"/>
      <c r="BL848" s="14"/>
      <c r="BM848" s="14"/>
      <c r="BN848" s="14"/>
    </row>
    <row r="849" spans="1:66" ht="15" customHeight="1" x14ac:dyDescent="0.2">
      <c r="A849" s="1">
        <v>8000947518</v>
      </c>
      <c r="B849" s="1">
        <v>800094751</v>
      </c>
      <c r="C849" s="15">
        <v>215325653</v>
      </c>
      <c r="D849" s="16" t="s">
        <v>532</v>
      </c>
      <c r="E849" s="41" t="s">
        <v>1558</v>
      </c>
      <c r="F849" s="28"/>
      <c r="G849" s="2"/>
      <c r="H849" s="3"/>
      <c r="I849" s="2"/>
      <c r="J849" s="29"/>
      <c r="K849" s="3"/>
      <c r="L849" s="2"/>
      <c r="M849" s="8"/>
      <c r="N849" s="3"/>
      <c r="O849" s="2"/>
      <c r="P849" s="3"/>
      <c r="Q849" s="2"/>
      <c r="R849" s="3"/>
      <c r="S849" s="3"/>
      <c r="T849" s="2"/>
      <c r="U849" s="8">
        <f t="shared" si="108"/>
        <v>0</v>
      </c>
      <c r="V849" s="8"/>
      <c r="W849" s="8"/>
      <c r="X849" s="8"/>
      <c r="Y849" s="8"/>
      <c r="Z849" s="8"/>
      <c r="AA849" s="8"/>
      <c r="AB849" s="8"/>
      <c r="AC849" s="8">
        <f t="shared" si="109"/>
        <v>0</v>
      </c>
      <c r="AD849" s="8"/>
      <c r="AE849" s="8"/>
      <c r="AF849" s="8"/>
      <c r="AG849" s="8"/>
      <c r="AH849" s="8"/>
      <c r="AI849" s="8"/>
      <c r="AJ849" s="8"/>
      <c r="AK849" s="8"/>
      <c r="AL849" s="8"/>
      <c r="AM849" s="8">
        <v>73610186</v>
      </c>
      <c r="AN849" s="8">
        <f>SUBTOTAL(9,AC849:AM849)</f>
        <v>73610186</v>
      </c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>
        <v>34981250</v>
      </c>
      <c r="AZ849" s="8"/>
      <c r="BA849" s="8"/>
      <c r="BB849" s="8"/>
      <c r="BC849" s="8">
        <f t="shared" si="110"/>
        <v>108591436</v>
      </c>
      <c r="BD849" s="4">
        <v>34981250</v>
      </c>
      <c r="BE849" s="4">
        <f t="shared" si="111"/>
        <v>73610186</v>
      </c>
      <c r="BF849" s="30">
        <f t="shared" si="112"/>
        <v>108591436</v>
      </c>
      <c r="BG849" s="18">
        <f t="shared" si="113"/>
        <v>0</v>
      </c>
      <c r="BH849" s="23"/>
      <c r="BI849" s="23"/>
      <c r="BJ849" s="23"/>
    </row>
    <row r="850" spans="1:66" ht="15" customHeight="1" x14ac:dyDescent="0.2">
      <c r="A850" s="1">
        <v>8905018764</v>
      </c>
      <c r="B850" s="1">
        <v>890501876</v>
      </c>
      <c r="C850" s="15">
        <v>217354673</v>
      </c>
      <c r="D850" s="16" t="s">
        <v>781</v>
      </c>
      <c r="E850" s="41" t="s">
        <v>1798</v>
      </c>
      <c r="F850" s="28"/>
      <c r="G850" s="17"/>
      <c r="H850" s="3"/>
      <c r="I850" s="2"/>
      <c r="J850" s="29"/>
      <c r="K850" s="3"/>
      <c r="L850" s="17"/>
      <c r="M850" s="34"/>
      <c r="N850" s="3"/>
      <c r="O850" s="17"/>
      <c r="P850" s="3"/>
      <c r="Q850" s="2"/>
      <c r="R850" s="3"/>
      <c r="S850" s="3"/>
      <c r="T850" s="17"/>
      <c r="U850" s="8">
        <f t="shared" si="108"/>
        <v>0</v>
      </c>
      <c r="V850" s="8"/>
      <c r="W850" s="8"/>
      <c r="X850" s="8"/>
      <c r="Y850" s="8"/>
      <c r="Z850" s="8"/>
      <c r="AA850" s="8"/>
      <c r="AB850" s="8"/>
      <c r="AC850" s="8">
        <f t="shared" si="109"/>
        <v>0</v>
      </c>
      <c r="AD850" s="8"/>
      <c r="AE850" s="8"/>
      <c r="AF850" s="8"/>
      <c r="AG850" s="8"/>
      <c r="AH850" s="8"/>
      <c r="AI850" s="8"/>
      <c r="AJ850" s="8"/>
      <c r="AK850" s="8"/>
      <c r="AL850" s="8"/>
      <c r="AM850" s="8">
        <v>110362801</v>
      </c>
      <c r="AN850" s="8">
        <f>SUBTOTAL(9,AC850:AM850)</f>
        <v>110362801</v>
      </c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>
        <v>41907700</v>
      </c>
      <c r="AZ850" s="8"/>
      <c r="BA850" s="8"/>
      <c r="BB850" s="8"/>
      <c r="BC850" s="8">
        <f t="shared" si="110"/>
        <v>152270501</v>
      </c>
      <c r="BD850" s="4">
        <v>41907700</v>
      </c>
      <c r="BE850" s="4">
        <f t="shared" si="111"/>
        <v>110362801</v>
      </c>
      <c r="BF850" s="30">
        <f t="shared" si="112"/>
        <v>152270501</v>
      </c>
      <c r="BG850" s="18">
        <f t="shared" si="113"/>
        <v>0</v>
      </c>
      <c r="BH850" s="23"/>
      <c r="BI850" s="14"/>
      <c r="BJ850" s="14"/>
      <c r="BK850" s="14"/>
      <c r="BL850" s="14"/>
      <c r="BM850" s="14"/>
      <c r="BN850" s="14"/>
    </row>
    <row r="851" spans="1:66" ht="15" customHeight="1" x14ac:dyDescent="0.2">
      <c r="A851" s="1">
        <v>8060012789</v>
      </c>
      <c r="B851" s="1">
        <v>806001278</v>
      </c>
      <c r="C851" s="15">
        <v>212013620</v>
      </c>
      <c r="D851" s="16" t="s">
        <v>203</v>
      </c>
      <c r="E851" s="41" t="s">
        <v>1234</v>
      </c>
      <c r="F851" s="28"/>
      <c r="G851" s="17"/>
      <c r="H851" s="3"/>
      <c r="I851" s="2"/>
      <c r="J851" s="29"/>
      <c r="K851" s="3"/>
      <c r="L851" s="17"/>
      <c r="M851" s="34"/>
      <c r="N851" s="3"/>
      <c r="O851" s="17"/>
      <c r="P851" s="3"/>
      <c r="Q851" s="2"/>
      <c r="R851" s="3"/>
      <c r="S851" s="3"/>
      <c r="T851" s="17"/>
      <c r="U851" s="8">
        <f t="shared" si="108"/>
        <v>0</v>
      </c>
      <c r="V851" s="8"/>
      <c r="W851" s="8"/>
      <c r="X851" s="8"/>
      <c r="Y851" s="8"/>
      <c r="Z851" s="8"/>
      <c r="AA851" s="8"/>
      <c r="AB851" s="8"/>
      <c r="AC851" s="8">
        <f t="shared" si="109"/>
        <v>0</v>
      </c>
      <c r="AD851" s="8"/>
      <c r="AE851" s="8"/>
      <c r="AF851" s="8"/>
      <c r="AG851" s="8"/>
      <c r="AH851" s="8"/>
      <c r="AI851" s="8"/>
      <c r="AJ851" s="8"/>
      <c r="AK851" s="8"/>
      <c r="AL851" s="8"/>
      <c r="AM851" s="8">
        <v>123095601</v>
      </c>
      <c r="AN851" s="8">
        <f>SUBTOTAL(9,AC851:AM851)</f>
        <v>123095601</v>
      </c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>
        <v>64436555</v>
      </c>
      <c r="AZ851" s="8"/>
      <c r="BA851" s="8"/>
      <c r="BB851" s="8"/>
      <c r="BC851" s="8">
        <f t="shared" si="110"/>
        <v>187532156</v>
      </c>
      <c r="BD851" s="4">
        <v>64436555</v>
      </c>
      <c r="BE851" s="4">
        <f t="shared" si="111"/>
        <v>123095601</v>
      </c>
      <c r="BF851" s="30">
        <f t="shared" si="112"/>
        <v>187532156</v>
      </c>
      <c r="BG851" s="18">
        <f t="shared" si="113"/>
        <v>0</v>
      </c>
      <c r="BH851" s="23"/>
      <c r="BI851" s="14"/>
      <c r="BJ851" s="14"/>
      <c r="BK851" s="14"/>
      <c r="BL851" s="14"/>
      <c r="BM851" s="14"/>
      <c r="BN851" s="14"/>
    </row>
    <row r="852" spans="1:66" ht="15" customHeight="1" x14ac:dyDescent="0.2">
      <c r="A852" s="1">
        <v>8000966232</v>
      </c>
      <c r="B852" s="1">
        <v>800096623</v>
      </c>
      <c r="C852" s="15">
        <v>215020750</v>
      </c>
      <c r="D852" s="16" t="s">
        <v>434</v>
      </c>
      <c r="E852" s="41" t="s">
        <v>1461</v>
      </c>
      <c r="F852" s="28"/>
      <c r="G852" s="2"/>
      <c r="H852" s="3"/>
      <c r="I852" s="2"/>
      <c r="J852" s="29"/>
      <c r="K852" s="3"/>
      <c r="L852" s="2"/>
      <c r="M852" s="8"/>
      <c r="N852" s="3"/>
      <c r="O852" s="2"/>
      <c r="P852" s="3"/>
      <c r="Q852" s="2"/>
      <c r="R852" s="3"/>
      <c r="S852" s="3"/>
      <c r="T852" s="2"/>
      <c r="U852" s="8">
        <f t="shared" si="108"/>
        <v>0</v>
      </c>
      <c r="V852" s="8"/>
      <c r="W852" s="8"/>
      <c r="X852" s="8"/>
      <c r="Y852" s="8"/>
      <c r="Z852" s="8"/>
      <c r="AA852" s="8"/>
      <c r="AB852" s="8"/>
      <c r="AC852" s="8">
        <f t="shared" si="109"/>
        <v>0</v>
      </c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>
        <v>147372000</v>
      </c>
      <c r="AZ852" s="8"/>
      <c r="BA852" s="8">
        <f>VLOOKUP(B852,[1]Hoja3!J$3:K$674,2,0)</f>
        <v>309188529</v>
      </c>
      <c r="BB852" s="8"/>
      <c r="BC852" s="8">
        <f t="shared" si="110"/>
        <v>456560529</v>
      </c>
      <c r="BD852" s="4">
        <v>147372000</v>
      </c>
      <c r="BE852" s="4">
        <f t="shared" si="111"/>
        <v>309188529</v>
      </c>
      <c r="BF852" s="30">
        <f t="shared" si="112"/>
        <v>456560529</v>
      </c>
      <c r="BG852" s="18">
        <f t="shared" si="113"/>
        <v>0</v>
      </c>
      <c r="BH852" s="23"/>
      <c r="BI852" s="23"/>
      <c r="BJ852" s="23"/>
    </row>
    <row r="853" spans="1:66" ht="15" customHeight="1" x14ac:dyDescent="0.2">
      <c r="A853" s="1">
        <v>8918012820</v>
      </c>
      <c r="B853" s="1">
        <v>891801282</v>
      </c>
      <c r="C853" s="15">
        <v>216015660</v>
      </c>
      <c r="D853" s="16" t="s">
        <v>296</v>
      </c>
      <c r="E853" s="41" t="s">
        <v>1327</v>
      </c>
      <c r="F853" s="28"/>
      <c r="G853" s="17"/>
      <c r="H853" s="3"/>
      <c r="I853" s="2"/>
      <c r="J853" s="29"/>
      <c r="K853" s="3"/>
      <c r="L853" s="17"/>
      <c r="M853" s="34"/>
      <c r="N853" s="3"/>
      <c r="O853" s="17"/>
      <c r="P853" s="3"/>
      <c r="Q853" s="2"/>
      <c r="R853" s="3"/>
      <c r="S853" s="3"/>
      <c r="T853" s="17"/>
      <c r="U853" s="8">
        <f t="shared" si="108"/>
        <v>0</v>
      </c>
      <c r="V853" s="8"/>
      <c r="W853" s="8"/>
      <c r="X853" s="8"/>
      <c r="Y853" s="8"/>
      <c r="Z853" s="8"/>
      <c r="AA853" s="8"/>
      <c r="AB853" s="8"/>
      <c r="AC853" s="8">
        <f t="shared" si="109"/>
        <v>0</v>
      </c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>
        <v>14393575</v>
      </c>
      <c r="AZ853" s="8"/>
      <c r="BA853" s="8">
        <f>VLOOKUP(B853,[1]Hoja3!J$3:K$674,2,0)</f>
        <v>24289265</v>
      </c>
      <c r="BB853" s="8"/>
      <c r="BC853" s="8">
        <f t="shared" si="110"/>
        <v>38682840</v>
      </c>
      <c r="BD853" s="4">
        <v>14393575</v>
      </c>
      <c r="BE853" s="4">
        <f t="shared" si="111"/>
        <v>24289265</v>
      </c>
      <c r="BF853" s="30">
        <f t="shared" si="112"/>
        <v>38682840</v>
      </c>
      <c r="BG853" s="18">
        <f t="shared" si="113"/>
        <v>0</v>
      </c>
      <c r="BH853" s="23"/>
      <c r="BI853" s="14"/>
      <c r="BJ853" s="14"/>
      <c r="BK853" s="14"/>
      <c r="BL853" s="14"/>
      <c r="BM853" s="14"/>
      <c r="BN853" s="14"/>
    </row>
    <row r="854" spans="1:66" ht="15" customHeight="1" x14ac:dyDescent="0.2">
      <c r="A854" s="1">
        <v>8904813100</v>
      </c>
      <c r="B854" s="1">
        <v>890481310</v>
      </c>
      <c r="C854" s="15">
        <v>214713647</v>
      </c>
      <c r="D854" s="16" t="s">
        <v>204</v>
      </c>
      <c r="E854" s="41" t="s">
        <v>1235</v>
      </c>
      <c r="F854" s="28"/>
      <c r="G854" s="17"/>
      <c r="H854" s="3"/>
      <c r="I854" s="2"/>
      <c r="J854" s="29"/>
      <c r="K854" s="3"/>
      <c r="L854" s="17"/>
      <c r="M854" s="34"/>
      <c r="N854" s="3"/>
      <c r="O854" s="17"/>
      <c r="P854" s="3"/>
      <c r="Q854" s="2"/>
      <c r="R854" s="3"/>
      <c r="S854" s="3"/>
      <c r="T854" s="17"/>
      <c r="U854" s="8">
        <f t="shared" si="108"/>
        <v>0</v>
      </c>
      <c r="V854" s="8"/>
      <c r="W854" s="8"/>
      <c r="X854" s="8"/>
      <c r="Y854" s="8"/>
      <c r="Z854" s="8"/>
      <c r="AA854" s="8"/>
      <c r="AB854" s="8"/>
      <c r="AC854" s="8">
        <f t="shared" si="109"/>
        <v>0</v>
      </c>
      <c r="AD854" s="8"/>
      <c r="AE854" s="8"/>
      <c r="AF854" s="8"/>
      <c r="AG854" s="8"/>
      <c r="AH854" s="8"/>
      <c r="AI854" s="8"/>
      <c r="AJ854" s="8"/>
      <c r="AK854" s="8"/>
      <c r="AL854" s="8"/>
      <c r="AM854" s="8">
        <v>140690410</v>
      </c>
      <c r="AN854" s="8">
        <f>SUBTOTAL(9,AC854:AM854)</f>
        <v>140690410</v>
      </c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>
        <v>165127655</v>
      </c>
      <c r="AZ854" s="8"/>
      <c r="BA854" s="8">
        <f>VLOOKUP(B854,[1]Hoja3!J$3:K$674,2,0)</f>
        <v>152186664</v>
      </c>
      <c r="BB854" s="8"/>
      <c r="BC854" s="8">
        <f t="shared" si="110"/>
        <v>458004729</v>
      </c>
      <c r="BD854" s="4">
        <v>165127655</v>
      </c>
      <c r="BE854" s="4">
        <f t="shared" si="111"/>
        <v>292877074</v>
      </c>
      <c r="BF854" s="30">
        <f t="shared" si="112"/>
        <v>458004729</v>
      </c>
      <c r="BG854" s="18">
        <f t="shared" si="113"/>
        <v>0</v>
      </c>
      <c r="BH854" s="23"/>
      <c r="BI854" s="14"/>
      <c r="BJ854" s="14"/>
      <c r="BK854" s="14"/>
      <c r="BL854" s="14"/>
      <c r="BM854" s="14"/>
      <c r="BN854" s="14"/>
    </row>
    <row r="855" spans="1:66" ht="15" customHeight="1" x14ac:dyDescent="0.2">
      <c r="A855" s="1">
        <v>8000371666</v>
      </c>
      <c r="B855" s="1">
        <v>800037166</v>
      </c>
      <c r="C855" s="15">
        <v>215013650</v>
      </c>
      <c r="D855" s="16" t="s">
        <v>205</v>
      </c>
      <c r="E855" s="41" t="s">
        <v>1236</v>
      </c>
      <c r="F855" s="28"/>
      <c r="G855" s="17"/>
      <c r="H855" s="3"/>
      <c r="I855" s="2"/>
      <c r="J855" s="29"/>
      <c r="K855" s="3"/>
      <c r="L855" s="17"/>
      <c r="M855" s="34"/>
      <c r="N855" s="3"/>
      <c r="O855" s="17"/>
      <c r="P855" s="3"/>
      <c r="Q855" s="2"/>
      <c r="R855" s="3"/>
      <c r="S855" s="3"/>
      <c r="T855" s="17"/>
      <c r="U855" s="8">
        <f t="shared" si="108"/>
        <v>0</v>
      </c>
      <c r="V855" s="8"/>
      <c r="W855" s="8"/>
      <c r="X855" s="8"/>
      <c r="Y855" s="8"/>
      <c r="Z855" s="8"/>
      <c r="AA855" s="8"/>
      <c r="AB855" s="8"/>
      <c r="AC855" s="8">
        <f t="shared" si="109"/>
        <v>0</v>
      </c>
      <c r="AD855" s="8"/>
      <c r="AE855" s="8"/>
      <c r="AF855" s="8"/>
      <c r="AG855" s="8"/>
      <c r="AH855" s="8"/>
      <c r="AI855" s="8"/>
      <c r="AJ855" s="8"/>
      <c r="AK855" s="8"/>
      <c r="AL855" s="8"/>
      <c r="AM855" s="8">
        <v>214091118</v>
      </c>
      <c r="AN855" s="8">
        <f>SUBTOTAL(9,AC855:AM855)</f>
        <v>214091118</v>
      </c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>
        <f t="shared" si="110"/>
        <v>214091118</v>
      </c>
      <c r="BD855" s="4"/>
      <c r="BE855" s="4">
        <f t="shared" si="111"/>
        <v>214091118</v>
      </c>
      <c r="BF855" s="30">
        <f t="shared" si="112"/>
        <v>214091118</v>
      </c>
      <c r="BG855" s="18">
        <f t="shared" si="113"/>
        <v>0</v>
      </c>
      <c r="BH855" s="23"/>
      <c r="BI855" s="14"/>
      <c r="BJ855" s="14"/>
      <c r="BK855" s="14"/>
      <c r="BL855" s="14"/>
      <c r="BM855" s="14"/>
      <c r="BN855" s="14"/>
    </row>
    <row r="856" spans="1:66" ht="15" customHeight="1" x14ac:dyDescent="0.2">
      <c r="A856" s="1">
        <v>8000227914</v>
      </c>
      <c r="B856" s="1">
        <v>800022791</v>
      </c>
      <c r="C856" s="15">
        <v>215205652</v>
      </c>
      <c r="D856" s="16" t="s">
        <v>129</v>
      </c>
      <c r="E856" s="41" t="s">
        <v>1157</v>
      </c>
      <c r="F856" s="28"/>
      <c r="G856" s="2"/>
      <c r="H856" s="3"/>
      <c r="I856" s="2"/>
      <c r="J856" s="29"/>
      <c r="K856" s="3"/>
      <c r="L856" s="2"/>
      <c r="M856" s="8"/>
      <c r="N856" s="3"/>
      <c r="O856" s="2"/>
      <c r="P856" s="3"/>
      <c r="Q856" s="2"/>
      <c r="R856" s="3"/>
      <c r="S856" s="3"/>
      <c r="T856" s="2"/>
      <c r="U856" s="8">
        <f t="shared" si="108"/>
        <v>0</v>
      </c>
      <c r="V856" s="8"/>
      <c r="W856" s="8"/>
      <c r="X856" s="8"/>
      <c r="Y856" s="8"/>
      <c r="Z856" s="8"/>
      <c r="AA856" s="8"/>
      <c r="AB856" s="8"/>
      <c r="AC856" s="8">
        <f t="shared" si="109"/>
        <v>0</v>
      </c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>
        <v>39742425</v>
      </c>
      <c r="AZ856" s="8"/>
      <c r="BA856" s="8">
        <f>VLOOKUP(B856,[1]Hoja3!J$3:K$674,2,0)</f>
        <v>76522980</v>
      </c>
      <c r="BB856" s="8"/>
      <c r="BC856" s="8">
        <f t="shared" si="110"/>
        <v>116265405</v>
      </c>
      <c r="BD856" s="4">
        <v>39742425</v>
      </c>
      <c r="BE856" s="4">
        <f t="shared" si="111"/>
        <v>76522980</v>
      </c>
      <c r="BF856" s="30">
        <f t="shared" si="112"/>
        <v>116265405</v>
      </c>
      <c r="BG856" s="18">
        <f t="shared" si="113"/>
        <v>0</v>
      </c>
      <c r="BH856" s="23"/>
      <c r="BI856" s="23"/>
      <c r="BJ856" s="23"/>
    </row>
    <row r="857" spans="1:66" ht="15" customHeight="1" x14ac:dyDescent="0.2">
      <c r="A857" s="1">
        <v>8999991735</v>
      </c>
      <c r="B857" s="1">
        <v>899999173</v>
      </c>
      <c r="C857" s="15">
        <v>215825658</v>
      </c>
      <c r="D857" s="16" t="s">
        <v>533</v>
      </c>
      <c r="E857" s="41" t="s">
        <v>2079</v>
      </c>
      <c r="F857" s="28"/>
      <c r="G857" s="17"/>
      <c r="H857" s="3"/>
      <c r="I857" s="2"/>
      <c r="J857" s="29"/>
      <c r="K857" s="3"/>
      <c r="L857" s="17"/>
      <c r="M857" s="34"/>
      <c r="N857" s="3"/>
      <c r="O857" s="17"/>
      <c r="P857" s="3"/>
      <c r="Q857" s="2"/>
      <c r="R857" s="3"/>
      <c r="S857" s="3"/>
      <c r="T857" s="17"/>
      <c r="U857" s="8">
        <f t="shared" si="108"/>
        <v>0</v>
      </c>
      <c r="V857" s="8"/>
      <c r="W857" s="8"/>
      <c r="X857" s="8"/>
      <c r="Y857" s="8"/>
      <c r="Z857" s="8"/>
      <c r="AA857" s="8"/>
      <c r="AB857" s="8"/>
      <c r="AC857" s="8">
        <f t="shared" si="109"/>
        <v>0</v>
      </c>
      <c r="AD857" s="8"/>
      <c r="AE857" s="8"/>
      <c r="AF857" s="8"/>
      <c r="AG857" s="8"/>
      <c r="AH857" s="8"/>
      <c r="AI857" s="8"/>
      <c r="AJ857" s="8"/>
      <c r="AK857" s="8"/>
      <c r="AL857" s="8"/>
      <c r="AM857" s="8">
        <v>129740329</v>
      </c>
      <c r="AN857" s="8">
        <f>SUBTOTAL(9,AC857:AM857)</f>
        <v>129740329</v>
      </c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>
        <f t="shared" si="110"/>
        <v>129740329</v>
      </c>
      <c r="BD857" s="4"/>
      <c r="BE857" s="4">
        <f t="shared" si="111"/>
        <v>129740329</v>
      </c>
      <c r="BF857" s="30">
        <f t="shared" si="112"/>
        <v>129740329</v>
      </c>
      <c r="BG857" s="18">
        <f t="shared" si="113"/>
        <v>0</v>
      </c>
      <c r="BH857" s="23"/>
      <c r="BI857" s="14"/>
      <c r="BJ857" s="14"/>
      <c r="BK857" s="14"/>
      <c r="BL857" s="14"/>
      <c r="BM857" s="14"/>
      <c r="BN857" s="14"/>
    </row>
    <row r="858" spans="1:66" ht="15" customHeight="1" x14ac:dyDescent="0.2">
      <c r="A858" s="1">
        <v>8001029036</v>
      </c>
      <c r="B858" s="1">
        <v>800102903</v>
      </c>
      <c r="C858" s="15">
        <v>215586755</v>
      </c>
      <c r="D858" s="16" t="s">
        <v>982</v>
      </c>
      <c r="E858" s="41" t="s">
        <v>2040</v>
      </c>
      <c r="F858" s="28"/>
      <c r="G858" s="17"/>
      <c r="H858" s="3"/>
      <c r="I858" s="2"/>
      <c r="J858" s="29"/>
      <c r="K858" s="3"/>
      <c r="L858" s="17"/>
      <c r="M858" s="34"/>
      <c r="N858" s="3"/>
      <c r="O858" s="17"/>
      <c r="P858" s="3"/>
      <c r="Q858" s="2"/>
      <c r="R858" s="3"/>
      <c r="S858" s="3"/>
      <c r="T858" s="17"/>
      <c r="U858" s="8">
        <f t="shared" si="108"/>
        <v>0</v>
      </c>
      <c r="V858" s="8"/>
      <c r="W858" s="8"/>
      <c r="X858" s="8"/>
      <c r="Y858" s="8"/>
      <c r="Z858" s="8"/>
      <c r="AA858" s="8"/>
      <c r="AB858" s="8"/>
      <c r="AC858" s="8">
        <f t="shared" si="109"/>
        <v>0</v>
      </c>
      <c r="AD858" s="8"/>
      <c r="AE858" s="8"/>
      <c r="AF858" s="8"/>
      <c r="AG858" s="8"/>
      <c r="AH858" s="8"/>
      <c r="AI858" s="8"/>
      <c r="AJ858" s="8"/>
      <c r="AK858" s="8"/>
      <c r="AL858" s="8"/>
      <c r="AM858" s="8">
        <v>7614600</v>
      </c>
      <c r="AN858" s="8">
        <f>SUBTOTAL(9,AC858:AM858)</f>
        <v>7614600</v>
      </c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>
        <v>40426000</v>
      </c>
      <c r="AZ858" s="8"/>
      <c r="BA858" s="8">
        <f>VLOOKUP(B858,[1]Hoja3!J$3:K$674,2,0)</f>
        <v>61996194</v>
      </c>
      <c r="BB858" s="8"/>
      <c r="BC858" s="8">
        <f t="shared" si="110"/>
        <v>110036794</v>
      </c>
      <c r="BD858" s="4">
        <v>40426000</v>
      </c>
      <c r="BE858" s="4">
        <f t="shared" si="111"/>
        <v>69610794</v>
      </c>
      <c r="BF858" s="30">
        <f t="shared" si="112"/>
        <v>110036794</v>
      </c>
      <c r="BG858" s="18">
        <f t="shared" si="113"/>
        <v>0</v>
      </c>
      <c r="BH858" s="23"/>
      <c r="BI858" s="14"/>
      <c r="BJ858" s="14"/>
      <c r="BK858" s="14"/>
      <c r="BL858" s="14"/>
      <c r="BM858" s="14"/>
      <c r="BN858" s="14"/>
    </row>
    <row r="859" spans="1:66" ht="15" customHeight="1" x14ac:dyDescent="0.2">
      <c r="A859" s="1">
        <v>8000998241</v>
      </c>
      <c r="B859" s="1">
        <v>800099824</v>
      </c>
      <c r="C859" s="15">
        <v>217968679</v>
      </c>
      <c r="D859" s="16" t="s">
        <v>875</v>
      </c>
      <c r="E859" s="41" t="s">
        <v>1888</v>
      </c>
      <c r="F859" s="28"/>
      <c r="G859" s="2"/>
      <c r="H859" s="3"/>
      <c r="I859" s="2"/>
      <c r="J859" s="29"/>
      <c r="K859" s="3"/>
      <c r="L859" s="2"/>
      <c r="M859" s="8"/>
      <c r="N859" s="3"/>
      <c r="O859" s="2"/>
      <c r="P859" s="3"/>
      <c r="Q859" s="2"/>
      <c r="R859" s="3"/>
      <c r="S859" s="3"/>
      <c r="T859" s="2"/>
      <c r="U859" s="8">
        <f t="shared" si="108"/>
        <v>0</v>
      </c>
      <c r="V859" s="8"/>
      <c r="W859" s="8"/>
      <c r="X859" s="8"/>
      <c r="Y859" s="8"/>
      <c r="Z859" s="8"/>
      <c r="AA859" s="8"/>
      <c r="AB859" s="8"/>
      <c r="AC859" s="8">
        <f t="shared" si="109"/>
        <v>0</v>
      </c>
      <c r="AD859" s="8"/>
      <c r="AE859" s="8"/>
      <c r="AF859" s="8"/>
      <c r="AG859" s="8"/>
      <c r="AH859" s="8"/>
      <c r="AI859" s="8"/>
      <c r="AJ859" s="8"/>
      <c r="AK859" s="8"/>
      <c r="AL859" s="8"/>
      <c r="AM859" s="8">
        <v>662148310</v>
      </c>
      <c r="AN859" s="8">
        <f>SUBTOTAL(9,AC859:AM859)</f>
        <v>662148310</v>
      </c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>
        <v>266084560</v>
      </c>
      <c r="AZ859" s="8"/>
      <c r="BA859" s="8"/>
      <c r="BB859" s="8"/>
      <c r="BC859" s="8">
        <f t="shared" si="110"/>
        <v>928232870</v>
      </c>
      <c r="BD859" s="4">
        <v>266084560</v>
      </c>
      <c r="BE859" s="4">
        <f t="shared" si="111"/>
        <v>662148310</v>
      </c>
      <c r="BF859" s="30">
        <f t="shared" si="112"/>
        <v>928232870</v>
      </c>
      <c r="BG859" s="18">
        <f t="shared" si="113"/>
        <v>0</v>
      </c>
      <c r="BH859" s="23"/>
      <c r="BI859" s="23"/>
      <c r="BJ859" s="23"/>
    </row>
    <row r="860" spans="1:66" ht="15" customHeight="1" x14ac:dyDescent="0.2">
      <c r="A860" s="1">
        <v>8000266851</v>
      </c>
      <c r="B860" s="1">
        <v>800026685</v>
      </c>
      <c r="C860" s="15">
        <v>215413654</v>
      </c>
      <c r="D860" s="16" t="s">
        <v>2163</v>
      </c>
      <c r="E860" s="41" t="s">
        <v>1009</v>
      </c>
      <c r="F860" s="28"/>
      <c r="G860" s="17"/>
      <c r="H860" s="3"/>
      <c r="I860" s="2"/>
      <c r="J860" s="29"/>
      <c r="K860" s="3"/>
      <c r="L860" s="17"/>
      <c r="M860" s="34"/>
      <c r="N860" s="3"/>
      <c r="O860" s="17"/>
      <c r="P860" s="3"/>
      <c r="Q860" s="2"/>
      <c r="R860" s="3"/>
      <c r="S860" s="3"/>
      <c r="T860" s="17"/>
      <c r="U860" s="8">
        <f t="shared" si="108"/>
        <v>0</v>
      </c>
      <c r="V860" s="8"/>
      <c r="W860" s="8"/>
      <c r="X860" s="8"/>
      <c r="Y860" s="8"/>
      <c r="Z860" s="8"/>
      <c r="AA860" s="8"/>
      <c r="AB860" s="8"/>
      <c r="AC860" s="8">
        <f t="shared" si="109"/>
        <v>0</v>
      </c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>
        <v>349720780</v>
      </c>
      <c r="AZ860" s="8"/>
      <c r="BA860" s="8">
        <f>VLOOKUP(B860,[1]Hoja3!J$3:K$674,2,0)</f>
        <v>484487408</v>
      </c>
      <c r="BB860" s="8"/>
      <c r="BC860" s="8">
        <f t="shared" si="110"/>
        <v>834208188</v>
      </c>
      <c r="BD860" s="4">
        <v>349720780</v>
      </c>
      <c r="BE860" s="4">
        <f t="shared" si="111"/>
        <v>484487408</v>
      </c>
      <c r="BF860" s="30">
        <f t="shared" si="112"/>
        <v>834208188</v>
      </c>
      <c r="BG860" s="18">
        <f t="shared" si="113"/>
        <v>0</v>
      </c>
      <c r="BH860" s="23"/>
      <c r="BI860" s="14"/>
      <c r="BJ860" s="14"/>
      <c r="BK860" s="14"/>
      <c r="BL860" s="14"/>
      <c r="BM860" s="14"/>
      <c r="BN860" s="14"/>
    </row>
    <row r="861" spans="1:66" ht="15" hidden="1" customHeight="1" x14ac:dyDescent="0.2">
      <c r="A861" s="1">
        <v>8060038841</v>
      </c>
      <c r="B861" s="1">
        <v>806003884</v>
      </c>
      <c r="C861" s="15">
        <v>215513655</v>
      </c>
      <c r="D861" s="16" t="s">
        <v>1004</v>
      </c>
      <c r="E861" s="41" t="s">
        <v>1237</v>
      </c>
      <c r="F861" s="28"/>
      <c r="G861" s="17"/>
      <c r="H861" s="3"/>
      <c r="I861" s="2"/>
      <c r="J861" s="29"/>
      <c r="K861" s="3"/>
      <c r="L861" s="17"/>
      <c r="M861" s="34"/>
      <c r="N861" s="3"/>
      <c r="O861" s="17"/>
      <c r="P861" s="3"/>
      <c r="Q861" s="2"/>
      <c r="R861" s="3"/>
      <c r="S861" s="3"/>
      <c r="T861" s="17"/>
      <c r="U861" s="8">
        <f t="shared" si="108"/>
        <v>0</v>
      </c>
      <c r="V861" s="8"/>
      <c r="W861" s="8"/>
      <c r="X861" s="8"/>
      <c r="Y861" s="8"/>
      <c r="Z861" s="8"/>
      <c r="AA861" s="8"/>
      <c r="AB861" s="8"/>
      <c r="AC861" s="8">
        <f t="shared" si="109"/>
        <v>0</v>
      </c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>
        <f t="shared" si="110"/>
        <v>0</v>
      </c>
      <c r="BD861" s="4"/>
      <c r="BE861" s="4">
        <f t="shared" si="111"/>
        <v>0</v>
      </c>
      <c r="BF861" s="30">
        <f t="shared" si="112"/>
        <v>0</v>
      </c>
      <c r="BG861" s="18">
        <f t="shared" si="113"/>
        <v>0</v>
      </c>
      <c r="BH861" s="23"/>
      <c r="BI861" s="14"/>
      <c r="BJ861" s="14"/>
      <c r="BK861" s="14"/>
      <c r="BL861" s="14"/>
      <c r="BM861" s="14"/>
      <c r="BN861" s="14"/>
    </row>
    <row r="862" spans="1:66" ht="15" customHeight="1" x14ac:dyDescent="0.2">
      <c r="A862" s="1">
        <v>8909208145</v>
      </c>
      <c r="B862" s="1">
        <v>890920814</v>
      </c>
      <c r="C862" s="15">
        <v>215605656</v>
      </c>
      <c r="D862" s="16" t="s">
        <v>130</v>
      </c>
      <c r="E862" s="41" t="s">
        <v>1158</v>
      </c>
      <c r="F862" s="28"/>
      <c r="G862" s="2"/>
      <c r="H862" s="3"/>
      <c r="I862" s="2"/>
      <c r="J862" s="29"/>
      <c r="K862" s="3"/>
      <c r="L862" s="2"/>
      <c r="M862" s="8"/>
      <c r="N862" s="3"/>
      <c r="O862" s="2"/>
      <c r="P862" s="3"/>
      <c r="Q862" s="2"/>
      <c r="R862" s="3"/>
      <c r="S862" s="3"/>
      <c r="T862" s="2"/>
      <c r="U862" s="8">
        <f t="shared" si="108"/>
        <v>0</v>
      </c>
      <c r="V862" s="8"/>
      <c r="W862" s="8"/>
      <c r="X862" s="8"/>
      <c r="Y862" s="8"/>
      <c r="Z862" s="8"/>
      <c r="AA862" s="8"/>
      <c r="AB862" s="8"/>
      <c r="AC862" s="8">
        <f t="shared" si="109"/>
        <v>0</v>
      </c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>
        <f>VLOOKUP(B862,[1]Hoja3!J$3:K$674,2,0)</f>
        <v>195197066</v>
      </c>
      <c r="BB862" s="8"/>
      <c r="BC862" s="8">
        <f t="shared" si="110"/>
        <v>195197066</v>
      </c>
      <c r="BD862" s="4"/>
      <c r="BE862" s="4">
        <f t="shared" si="111"/>
        <v>195197066</v>
      </c>
      <c r="BF862" s="30">
        <f t="shared" si="112"/>
        <v>195197066</v>
      </c>
      <c r="BG862" s="18">
        <f t="shared" si="113"/>
        <v>0</v>
      </c>
      <c r="BH862" s="23"/>
      <c r="BI862" s="23"/>
      <c r="BJ862" s="23"/>
    </row>
    <row r="863" spans="1:66" ht="15" customHeight="1" x14ac:dyDescent="0.2">
      <c r="A863" s="1">
        <v>8902086762</v>
      </c>
      <c r="B863" s="1">
        <v>890208676</v>
      </c>
      <c r="C863" s="15">
        <v>218268682</v>
      </c>
      <c r="D863" s="16" t="s">
        <v>876</v>
      </c>
      <c r="E863" s="41" t="s">
        <v>1853</v>
      </c>
      <c r="F863" s="28"/>
      <c r="G863" s="2"/>
      <c r="H863" s="3"/>
      <c r="I863" s="2"/>
      <c r="J863" s="29"/>
      <c r="K863" s="3"/>
      <c r="L863" s="2"/>
      <c r="M863" s="8"/>
      <c r="N863" s="3"/>
      <c r="O863" s="2"/>
      <c r="P863" s="3"/>
      <c r="Q863" s="2"/>
      <c r="R863" s="3"/>
      <c r="S863" s="3"/>
      <c r="T863" s="2"/>
      <c r="U863" s="8">
        <f t="shared" si="108"/>
        <v>0</v>
      </c>
      <c r="V863" s="8"/>
      <c r="W863" s="8"/>
      <c r="X863" s="8"/>
      <c r="Y863" s="8"/>
      <c r="Z863" s="8"/>
      <c r="AA863" s="8"/>
      <c r="AB863" s="8"/>
      <c r="AC863" s="8">
        <f t="shared" si="109"/>
        <v>0</v>
      </c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>
        <v>17168600</v>
      </c>
      <c r="AZ863" s="8"/>
      <c r="BA863" s="8">
        <f>VLOOKUP(B863,[1]Hoja3!J$3:K$674,2,0)</f>
        <v>32792671</v>
      </c>
      <c r="BB863" s="8"/>
      <c r="BC863" s="8">
        <f t="shared" si="110"/>
        <v>49961271</v>
      </c>
      <c r="BD863" s="4">
        <v>17168600</v>
      </c>
      <c r="BE863" s="4">
        <f t="shared" si="111"/>
        <v>32792671</v>
      </c>
      <c r="BF863" s="30">
        <f t="shared" si="112"/>
        <v>49961271</v>
      </c>
      <c r="BG863" s="18">
        <f t="shared" si="113"/>
        <v>0</v>
      </c>
      <c r="BH863" s="23"/>
      <c r="BI863" s="23"/>
      <c r="BJ863" s="23"/>
    </row>
    <row r="864" spans="1:66" ht="15" customHeight="1" x14ac:dyDescent="0.2">
      <c r="A864" s="1">
        <v>8916800809</v>
      </c>
      <c r="B864" s="1">
        <v>891680080</v>
      </c>
      <c r="C864" s="15">
        <v>216027660</v>
      </c>
      <c r="D864" s="16" t="s">
        <v>2117</v>
      </c>
      <c r="E864" s="41" t="s">
        <v>1611</v>
      </c>
      <c r="F864" s="28"/>
      <c r="G864" s="2"/>
      <c r="H864" s="3"/>
      <c r="I864" s="2"/>
      <c r="J864" s="29"/>
      <c r="K864" s="3"/>
      <c r="L864" s="2"/>
      <c r="M864" s="8"/>
      <c r="N864" s="3"/>
      <c r="O864" s="2"/>
      <c r="P864" s="3"/>
      <c r="Q864" s="2"/>
      <c r="R864" s="3"/>
      <c r="S864" s="3"/>
      <c r="T864" s="2"/>
      <c r="U864" s="8">
        <f t="shared" si="108"/>
        <v>0</v>
      </c>
      <c r="V864" s="8"/>
      <c r="W864" s="8"/>
      <c r="X864" s="8"/>
      <c r="Y864" s="8"/>
      <c r="Z864" s="8"/>
      <c r="AA864" s="8"/>
      <c r="AB864" s="8"/>
      <c r="AC864" s="8">
        <f t="shared" si="109"/>
        <v>0</v>
      </c>
      <c r="AD864" s="8"/>
      <c r="AE864" s="8"/>
      <c r="AF864" s="8"/>
      <c r="AG864" s="8"/>
      <c r="AH864" s="8"/>
      <c r="AI864" s="8"/>
      <c r="AJ864" s="8"/>
      <c r="AK864" s="8"/>
      <c r="AL864" s="8"/>
      <c r="AM864" s="8">
        <v>79617884</v>
      </c>
      <c r="AN864" s="8">
        <f t="shared" ref="AN864:AN874" si="115">SUBTOTAL(9,AC864:AM864)</f>
        <v>79617884</v>
      </c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>
        <f t="shared" si="110"/>
        <v>79617884</v>
      </c>
      <c r="BD864" s="4"/>
      <c r="BE864" s="4">
        <f t="shared" si="111"/>
        <v>79617884</v>
      </c>
      <c r="BF864" s="30">
        <f t="shared" si="112"/>
        <v>79617884</v>
      </c>
      <c r="BG864" s="18">
        <f t="shared" si="113"/>
        <v>0</v>
      </c>
      <c r="BH864" s="23"/>
      <c r="BI864" s="23"/>
      <c r="BJ864" s="23"/>
    </row>
    <row r="865" spans="1:66" ht="15" customHeight="1" x14ac:dyDescent="0.2">
      <c r="A865" s="1">
        <v>8000832337</v>
      </c>
      <c r="B865" s="1">
        <v>800083233</v>
      </c>
      <c r="C865" s="15">
        <v>216415664</v>
      </c>
      <c r="D865" s="16" t="s">
        <v>297</v>
      </c>
      <c r="E865" s="41" t="s">
        <v>1328</v>
      </c>
      <c r="F865" s="28"/>
      <c r="G865" s="17"/>
      <c r="H865" s="3"/>
      <c r="I865" s="2"/>
      <c r="J865" s="29"/>
      <c r="K865" s="3"/>
      <c r="L865" s="17"/>
      <c r="M865" s="34"/>
      <c r="N865" s="3"/>
      <c r="O865" s="17"/>
      <c r="P865" s="3"/>
      <c r="Q865" s="2"/>
      <c r="R865" s="3"/>
      <c r="S865" s="3"/>
      <c r="T865" s="17"/>
      <c r="U865" s="8">
        <f t="shared" si="108"/>
        <v>0</v>
      </c>
      <c r="V865" s="8"/>
      <c r="W865" s="8"/>
      <c r="X865" s="8"/>
      <c r="Y865" s="8"/>
      <c r="Z865" s="8"/>
      <c r="AA865" s="8"/>
      <c r="AB865" s="8"/>
      <c r="AC865" s="8">
        <f t="shared" si="109"/>
        <v>0</v>
      </c>
      <c r="AD865" s="8"/>
      <c r="AE865" s="8"/>
      <c r="AF865" s="8"/>
      <c r="AG865" s="8"/>
      <c r="AH865" s="8"/>
      <c r="AI865" s="8"/>
      <c r="AJ865" s="8"/>
      <c r="AK865" s="8"/>
      <c r="AL865" s="8"/>
      <c r="AM865" s="8">
        <v>14556599</v>
      </c>
      <c r="AN865" s="8">
        <f t="shared" si="115"/>
        <v>14556599</v>
      </c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>
        <v>37585305</v>
      </c>
      <c r="AZ865" s="8"/>
      <c r="BA865" s="8">
        <f>VLOOKUP(B865,[1]Hoja3!J$3:K$674,2,0)</f>
        <v>45002686</v>
      </c>
      <c r="BB865" s="8"/>
      <c r="BC865" s="8">
        <f t="shared" si="110"/>
        <v>97144590</v>
      </c>
      <c r="BD865" s="4">
        <v>37585305</v>
      </c>
      <c r="BE865" s="4">
        <f t="shared" si="111"/>
        <v>59559285</v>
      </c>
      <c r="BF865" s="30">
        <f t="shared" si="112"/>
        <v>97144590</v>
      </c>
      <c r="BG865" s="18">
        <f t="shared" si="113"/>
        <v>0</v>
      </c>
      <c r="BH865" s="23"/>
      <c r="BI865" s="14"/>
      <c r="BJ865" s="14"/>
      <c r="BK865" s="14"/>
      <c r="BL865" s="14"/>
      <c r="BM865" s="14"/>
      <c r="BN865" s="14"/>
    </row>
    <row r="866" spans="1:66" ht="15" customHeight="1" x14ac:dyDescent="0.2">
      <c r="A866" s="1">
        <v>9002200618</v>
      </c>
      <c r="B866" s="1">
        <v>900220061</v>
      </c>
      <c r="C866" s="15">
        <v>923271475</v>
      </c>
      <c r="D866" s="16" t="s">
        <v>2203</v>
      </c>
      <c r="E866" s="41" t="s">
        <v>2071</v>
      </c>
      <c r="F866" s="28"/>
      <c r="G866" s="2"/>
      <c r="H866" s="3"/>
      <c r="I866" s="2"/>
      <c r="J866" s="29"/>
      <c r="K866" s="3"/>
      <c r="L866" s="2"/>
      <c r="M866" s="8"/>
      <c r="N866" s="3"/>
      <c r="O866" s="2"/>
      <c r="P866" s="3"/>
      <c r="Q866" s="2"/>
      <c r="R866" s="3"/>
      <c r="S866" s="3"/>
      <c r="T866" s="2"/>
      <c r="U866" s="8">
        <f t="shared" si="108"/>
        <v>0</v>
      </c>
      <c r="V866" s="8"/>
      <c r="W866" s="8"/>
      <c r="X866" s="8"/>
      <c r="Y866" s="8"/>
      <c r="Z866" s="8"/>
      <c r="AA866" s="8"/>
      <c r="AB866" s="8"/>
      <c r="AC866" s="8">
        <f t="shared" si="109"/>
        <v>0</v>
      </c>
      <c r="AD866" s="8"/>
      <c r="AE866" s="8"/>
      <c r="AF866" s="8"/>
      <c r="AG866" s="8"/>
      <c r="AH866" s="8"/>
      <c r="AI866" s="8"/>
      <c r="AJ866" s="8"/>
      <c r="AK866" s="8"/>
      <c r="AL866" s="8"/>
      <c r="AM866" s="8">
        <v>127998579</v>
      </c>
      <c r="AN866" s="8">
        <f t="shared" si="115"/>
        <v>127998579</v>
      </c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>
        <v>165316175</v>
      </c>
      <c r="AZ866" s="8"/>
      <c r="BA866" s="8"/>
      <c r="BB866" s="8"/>
      <c r="BC866" s="8">
        <f t="shared" si="110"/>
        <v>293314754</v>
      </c>
      <c r="BD866" s="4">
        <v>165316175</v>
      </c>
      <c r="BE866" s="4">
        <f t="shared" si="111"/>
        <v>127998579</v>
      </c>
      <c r="BF866" s="30">
        <f t="shared" si="112"/>
        <v>293314754</v>
      </c>
      <c r="BG866" s="18">
        <f t="shared" si="113"/>
        <v>0</v>
      </c>
      <c r="BH866" s="23"/>
      <c r="BI866" s="23"/>
      <c r="BJ866" s="23"/>
    </row>
    <row r="867" spans="1:66" ht="15" customHeight="1" x14ac:dyDescent="0.2">
      <c r="A867" s="1">
        <v>8001031802</v>
      </c>
      <c r="B867" s="1">
        <v>800103180</v>
      </c>
      <c r="C867" s="15">
        <v>210195001</v>
      </c>
      <c r="D867" s="16" t="s">
        <v>2124</v>
      </c>
      <c r="E867" s="41" t="s">
        <v>2048</v>
      </c>
      <c r="F867" s="28"/>
      <c r="G867" s="2"/>
      <c r="H867" s="3"/>
      <c r="I867" s="2"/>
      <c r="J867" s="29"/>
      <c r="K867" s="3"/>
      <c r="L867" s="2"/>
      <c r="M867" s="8"/>
      <c r="N867" s="3"/>
      <c r="O867" s="2"/>
      <c r="P867" s="3"/>
      <c r="Q867" s="2"/>
      <c r="R867" s="3"/>
      <c r="S867" s="3"/>
      <c r="T867" s="2"/>
      <c r="U867" s="8">
        <f t="shared" si="108"/>
        <v>0</v>
      </c>
      <c r="V867" s="8"/>
      <c r="W867" s="8"/>
      <c r="X867" s="8"/>
      <c r="Y867" s="8"/>
      <c r="Z867" s="8"/>
      <c r="AA867" s="8"/>
      <c r="AB867" s="8"/>
      <c r="AC867" s="8">
        <f t="shared" si="109"/>
        <v>0</v>
      </c>
      <c r="AD867" s="8"/>
      <c r="AE867" s="8"/>
      <c r="AF867" s="8"/>
      <c r="AG867" s="8"/>
      <c r="AH867" s="8"/>
      <c r="AI867" s="8"/>
      <c r="AJ867" s="8"/>
      <c r="AK867" s="8"/>
      <c r="AL867" s="8"/>
      <c r="AM867" s="8">
        <v>839717817</v>
      </c>
      <c r="AN867" s="8">
        <f t="shared" si="115"/>
        <v>839717817</v>
      </c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>
        <v>462255835</v>
      </c>
      <c r="AZ867" s="8"/>
      <c r="BA867" s="8"/>
      <c r="BB867" s="8"/>
      <c r="BC867" s="8">
        <f t="shared" si="110"/>
        <v>1301973652</v>
      </c>
      <c r="BD867" s="4">
        <v>462255835</v>
      </c>
      <c r="BE867" s="4">
        <f t="shared" si="111"/>
        <v>839717817</v>
      </c>
      <c r="BF867" s="30">
        <f t="shared" si="112"/>
        <v>1301973652</v>
      </c>
      <c r="BG867" s="18">
        <f t="shared" si="113"/>
        <v>0</v>
      </c>
      <c r="BH867" s="23"/>
      <c r="BI867" s="23"/>
      <c r="BJ867" s="23"/>
    </row>
    <row r="868" spans="1:66" ht="15" customHeight="1" x14ac:dyDescent="0.2">
      <c r="A868" s="1">
        <v>8000957820</v>
      </c>
      <c r="B868" s="1">
        <v>800095782</v>
      </c>
      <c r="C868" s="15">
        <v>211018610</v>
      </c>
      <c r="D868" s="16" t="s">
        <v>2197</v>
      </c>
      <c r="E868" s="41" t="s">
        <v>1400</v>
      </c>
      <c r="F868" s="28"/>
      <c r="G868" s="2"/>
      <c r="H868" s="3"/>
      <c r="I868" s="2"/>
      <c r="J868" s="29"/>
      <c r="K868" s="3"/>
      <c r="L868" s="2"/>
      <c r="M868" s="8"/>
      <c r="N868" s="3"/>
      <c r="O868" s="2"/>
      <c r="P868" s="3"/>
      <c r="Q868" s="2"/>
      <c r="R868" s="3"/>
      <c r="S868" s="3"/>
      <c r="T868" s="2"/>
      <c r="U868" s="8">
        <f t="shared" si="108"/>
        <v>0</v>
      </c>
      <c r="V868" s="8"/>
      <c r="W868" s="8"/>
      <c r="X868" s="8"/>
      <c r="Y868" s="8"/>
      <c r="Z868" s="8"/>
      <c r="AA868" s="8"/>
      <c r="AB868" s="8"/>
      <c r="AC868" s="8">
        <f t="shared" si="109"/>
        <v>0</v>
      </c>
      <c r="AD868" s="8"/>
      <c r="AE868" s="8"/>
      <c r="AF868" s="8"/>
      <c r="AG868" s="8"/>
      <c r="AH868" s="8"/>
      <c r="AI868" s="8"/>
      <c r="AJ868" s="8"/>
      <c r="AK868" s="8"/>
      <c r="AL868" s="8"/>
      <c r="AM868" s="8">
        <v>251064524</v>
      </c>
      <c r="AN868" s="8">
        <f t="shared" si="115"/>
        <v>251064524</v>
      </c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>
        <v>132244025</v>
      </c>
      <c r="AZ868" s="8"/>
      <c r="BA868" s="8"/>
      <c r="BB868" s="8"/>
      <c r="BC868" s="8">
        <f t="shared" si="110"/>
        <v>383308549</v>
      </c>
      <c r="BD868" s="4">
        <v>132244025</v>
      </c>
      <c r="BE868" s="4">
        <f t="shared" si="111"/>
        <v>251064524</v>
      </c>
      <c r="BF868" s="30">
        <f t="shared" si="112"/>
        <v>383308549</v>
      </c>
      <c r="BG868" s="18">
        <f t="shared" si="113"/>
        <v>0</v>
      </c>
      <c r="BH868" s="23"/>
      <c r="BI868" s="23"/>
      <c r="BJ868" s="23"/>
    </row>
    <row r="869" spans="1:66" ht="15" customHeight="1" x14ac:dyDescent="0.2">
      <c r="A869" s="1">
        <v>8902048904</v>
      </c>
      <c r="B869" s="1">
        <v>890204890</v>
      </c>
      <c r="C869" s="15">
        <v>218468684</v>
      </c>
      <c r="D869" s="16" t="s">
        <v>2138</v>
      </c>
      <c r="E869" s="41" t="s">
        <v>1889</v>
      </c>
      <c r="F869" s="28"/>
      <c r="G869" s="2"/>
      <c r="H869" s="3"/>
      <c r="I869" s="2"/>
      <c r="J869" s="29"/>
      <c r="K869" s="3"/>
      <c r="L869" s="2"/>
      <c r="M869" s="8"/>
      <c r="N869" s="3"/>
      <c r="O869" s="2"/>
      <c r="P869" s="3"/>
      <c r="Q869" s="2"/>
      <c r="R869" s="3"/>
      <c r="S869" s="3"/>
      <c r="T869" s="2"/>
      <c r="U869" s="8">
        <f t="shared" si="108"/>
        <v>0</v>
      </c>
      <c r="V869" s="8"/>
      <c r="W869" s="8"/>
      <c r="X869" s="8"/>
      <c r="Y869" s="8"/>
      <c r="Z869" s="8"/>
      <c r="AA869" s="8"/>
      <c r="AB869" s="8"/>
      <c r="AC869" s="8">
        <f t="shared" si="109"/>
        <v>0</v>
      </c>
      <c r="AD869" s="8"/>
      <c r="AE869" s="8"/>
      <c r="AF869" s="8"/>
      <c r="AG869" s="8"/>
      <c r="AH869" s="8"/>
      <c r="AI869" s="8"/>
      <c r="AJ869" s="8"/>
      <c r="AK869" s="8"/>
      <c r="AL869" s="8"/>
      <c r="AM869" s="8">
        <v>52552207</v>
      </c>
      <c r="AN869" s="8">
        <f t="shared" si="115"/>
        <v>52552207</v>
      </c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>
        <v>29033440</v>
      </c>
      <c r="AZ869" s="8"/>
      <c r="BA869" s="8"/>
      <c r="BB869" s="8"/>
      <c r="BC869" s="8">
        <f t="shared" si="110"/>
        <v>81585647</v>
      </c>
      <c r="BD869" s="4">
        <v>29033440</v>
      </c>
      <c r="BE869" s="4">
        <f t="shared" si="111"/>
        <v>52552207</v>
      </c>
      <c r="BF869" s="30">
        <f t="shared" si="112"/>
        <v>81585647</v>
      </c>
      <c r="BG869" s="18">
        <f t="shared" si="113"/>
        <v>0</v>
      </c>
      <c r="BH869" s="23"/>
      <c r="BI869" s="23"/>
      <c r="BJ869" s="23"/>
    </row>
    <row r="870" spans="1:66" ht="15" customHeight="1" x14ac:dyDescent="0.2">
      <c r="A870" s="1">
        <v>8100019988</v>
      </c>
      <c r="B870" s="1">
        <v>810001998</v>
      </c>
      <c r="C870" s="15">
        <v>216517665</v>
      </c>
      <c r="D870" s="16" t="s">
        <v>357</v>
      </c>
      <c r="E870" s="41" t="s">
        <v>1386</v>
      </c>
      <c r="F870" s="28"/>
      <c r="G870" s="2"/>
      <c r="H870" s="3"/>
      <c r="I870" s="2"/>
      <c r="J870" s="29"/>
      <c r="K870" s="3"/>
      <c r="L870" s="2"/>
      <c r="M870" s="8"/>
      <c r="N870" s="3"/>
      <c r="O870" s="2"/>
      <c r="P870" s="3"/>
      <c r="Q870" s="2"/>
      <c r="R870" s="3"/>
      <c r="S870" s="3"/>
      <c r="T870" s="2"/>
      <c r="U870" s="8">
        <f t="shared" si="108"/>
        <v>0</v>
      </c>
      <c r="V870" s="8"/>
      <c r="W870" s="8"/>
      <c r="X870" s="8"/>
      <c r="Y870" s="8"/>
      <c r="Z870" s="8"/>
      <c r="AA870" s="8"/>
      <c r="AB870" s="8"/>
      <c r="AC870" s="8">
        <f t="shared" si="109"/>
        <v>0</v>
      </c>
      <c r="AD870" s="8"/>
      <c r="AE870" s="8"/>
      <c r="AF870" s="8"/>
      <c r="AG870" s="8"/>
      <c r="AH870" s="8"/>
      <c r="AI870" s="8"/>
      <c r="AJ870" s="8"/>
      <c r="AK870" s="8"/>
      <c r="AL870" s="8"/>
      <c r="AM870" s="8">
        <v>75311670</v>
      </c>
      <c r="AN870" s="8">
        <f t="shared" si="115"/>
        <v>75311670</v>
      </c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>
        <v>38320085</v>
      </c>
      <c r="AZ870" s="8"/>
      <c r="BA870" s="8"/>
      <c r="BB870" s="8"/>
      <c r="BC870" s="8">
        <f t="shared" si="110"/>
        <v>113631755</v>
      </c>
      <c r="BD870" s="4">
        <v>38320085</v>
      </c>
      <c r="BE870" s="4">
        <f t="shared" si="111"/>
        <v>75311670</v>
      </c>
      <c r="BF870" s="30">
        <f t="shared" si="112"/>
        <v>113631755</v>
      </c>
      <c r="BG870" s="18">
        <f t="shared" si="113"/>
        <v>0</v>
      </c>
      <c r="BH870" s="23"/>
      <c r="BI870" s="23"/>
      <c r="BJ870" s="23"/>
    </row>
    <row r="871" spans="1:66" ht="15" customHeight="1" x14ac:dyDescent="0.2">
      <c r="A871" s="1">
        <v>8922012821</v>
      </c>
      <c r="B871" s="1">
        <v>892201282</v>
      </c>
      <c r="C871" s="15">
        <v>210270702</v>
      </c>
      <c r="D871" s="16" t="s">
        <v>2141</v>
      </c>
      <c r="E871" s="41" t="s">
        <v>1921</v>
      </c>
      <c r="F871" s="28"/>
      <c r="G871" s="2"/>
      <c r="H871" s="3"/>
      <c r="I871" s="2"/>
      <c r="J871" s="29"/>
      <c r="K871" s="3"/>
      <c r="L871" s="2"/>
      <c r="M871" s="8"/>
      <c r="N871" s="3"/>
      <c r="O871" s="2"/>
      <c r="P871" s="3"/>
      <c r="Q871" s="2"/>
      <c r="R871" s="3"/>
      <c r="S871" s="3"/>
      <c r="T871" s="2"/>
      <c r="U871" s="8">
        <f t="shared" si="108"/>
        <v>0</v>
      </c>
      <c r="V871" s="8"/>
      <c r="W871" s="8"/>
      <c r="X871" s="8"/>
      <c r="Y871" s="8"/>
      <c r="Z871" s="8"/>
      <c r="AA871" s="8"/>
      <c r="AB871" s="8"/>
      <c r="AC871" s="8">
        <f t="shared" si="109"/>
        <v>0</v>
      </c>
      <c r="AD871" s="8"/>
      <c r="AE871" s="8"/>
      <c r="AF871" s="8"/>
      <c r="AG871" s="8"/>
      <c r="AH871" s="8"/>
      <c r="AI871" s="8"/>
      <c r="AJ871" s="8"/>
      <c r="AK871" s="8"/>
      <c r="AL871" s="8"/>
      <c r="AM871" s="8">
        <v>42370217</v>
      </c>
      <c r="AN871" s="8">
        <f t="shared" si="115"/>
        <v>42370217</v>
      </c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>
        <v>117463185</v>
      </c>
      <c r="AZ871" s="8"/>
      <c r="BA871" s="8">
        <f>VLOOKUP(B871,[1]Hoja3!J$3:K$674,2,0)</f>
        <v>159590057</v>
      </c>
      <c r="BB871" s="8"/>
      <c r="BC871" s="8">
        <f t="shared" si="110"/>
        <v>319423459</v>
      </c>
      <c r="BD871" s="4">
        <v>117463185</v>
      </c>
      <c r="BE871" s="4">
        <f t="shared" si="111"/>
        <v>201960274</v>
      </c>
      <c r="BF871" s="30">
        <f t="shared" si="112"/>
        <v>319423459</v>
      </c>
      <c r="BG871" s="18">
        <f t="shared" si="113"/>
        <v>0</v>
      </c>
      <c r="BH871" s="23"/>
      <c r="BI871" s="23"/>
      <c r="BJ871" s="23"/>
    </row>
    <row r="872" spans="1:66" ht="15" customHeight="1" x14ac:dyDescent="0.2">
      <c r="A872" s="1">
        <v>8000982056</v>
      </c>
      <c r="B872" s="1">
        <v>800098205</v>
      </c>
      <c r="C872" s="15">
        <v>218350683</v>
      </c>
      <c r="D872" s="16" t="s">
        <v>688</v>
      </c>
      <c r="E872" s="41" t="s">
        <v>1711</v>
      </c>
      <c r="F872" s="28"/>
      <c r="G872" s="2"/>
      <c r="H872" s="3"/>
      <c r="I872" s="2"/>
      <c r="J872" s="29"/>
      <c r="K872" s="3"/>
      <c r="L872" s="2"/>
      <c r="M872" s="8"/>
      <c r="N872" s="3"/>
      <c r="O872" s="2"/>
      <c r="P872" s="3"/>
      <c r="Q872" s="2"/>
      <c r="R872" s="3"/>
      <c r="S872" s="3"/>
      <c r="T872" s="2"/>
      <c r="U872" s="8">
        <f t="shared" si="108"/>
        <v>0</v>
      </c>
      <c r="V872" s="8"/>
      <c r="W872" s="8"/>
      <c r="X872" s="8"/>
      <c r="Y872" s="8"/>
      <c r="Z872" s="8"/>
      <c r="AA872" s="8"/>
      <c r="AB872" s="8"/>
      <c r="AC872" s="8">
        <f t="shared" si="109"/>
        <v>0</v>
      </c>
      <c r="AD872" s="8"/>
      <c r="AE872" s="8"/>
      <c r="AF872" s="8"/>
      <c r="AG872" s="8"/>
      <c r="AH872" s="8"/>
      <c r="AI872" s="8"/>
      <c r="AJ872" s="8"/>
      <c r="AK872" s="8"/>
      <c r="AL872" s="8"/>
      <c r="AM872" s="8">
        <v>129758954</v>
      </c>
      <c r="AN872" s="8">
        <f t="shared" si="115"/>
        <v>129758954</v>
      </c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>
        <v>55913080</v>
      </c>
      <c r="AZ872" s="8"/>
      <c r="BA872" s="8"/>
      <c r="BB872" s="8"/>
      <c r="BC872" s="8">
        <f t="shared" si="110"/>
        <v>185672034</v>
      </c>
      <c r="BD872" s="4">
        <v>55913080</v>
      </c>
      <c r="BE872" s="4">
        <f t="shared" si="111"/>
        <v>129758954</v>
      </c>
      <c r="BF872" s="30">
        <f t="shared" si="112"/>
        <v>185672034</v>
      </c>
      <c r="BG872" s="18">
        <f t="shared" si="113"/>
        <v>0</v>
      </c>
      <c r="BH872" s="23"/>
      <c r="BI872" s="23"/>
      <c r="BJ872" s="23"/>
    </row>
    <row r="873" spans="1:66" ht="15" customHeight="1" x14ac:dyDescent="0.2">
      <c r="A873" s="1">
        <v>8999994224</v>
      </c>
      <c r="B873" s="1">
        <v>899999422</v>
      </c>
      <c r="C873" s="15">
        <v>216225662</v>
      </c>
      <c r="D873" s="16" t="s">
        <v>2120</v>
      </c>
      <c r="E873" s="41" t="s">
        <v>1559</v>
      </c>
      <c r="F873" s="28"/>
      <c r="G873" s="2"/>
      <c r="H873" s="3"/>
      <c r="I873" s="2"/>
      <c r="J873" s="29"/>
      <c r="K873" s="3"/>
      <c r="L873" s="2"/>
      <c r="M873" s="8"/>
      <c r="N873" s="3"/>
      <c r="O873" s="2"/>
      <c r="P873" s="3"/>
      <c r="Q873" s="2"/>
      <c r="R873" s="3"/>
      <c r="S873" s="3"/>
      <c r="T873" s="2"/>
      <c r="U873" s="8">
        <f t="shared" si="108"/>
        <v>0</v>
      </c>
      <c r="V873" s="8"/>
      <c r="W873" s="8"/>
      <c r="X873" s="8"/>
      <c r="Y873" s="8"/>
      <c r="Z873" s="8"/>
      <c r="AA873" s="8"/>
      <c r="AB873" s="8"/>
      <c r="AC873" s="8">
        <f t="shared" si="109"/>
        <v>0</v>
      </c>
      <c r="AD873" s="8"/>
      <c r="AE873" s="8"/>
      <c r="AF873" s="8"/>
      <c r="AG873" s="8"/>
      <c r="AH873" s="8"/>
      <c r="AI873" s="8"/>
      <c r="AJ873" s="8"/>
      <c r="AK873" s="8"/>
      <c r="AL873" s="8"/>
      <c r="AM873" s="8">
        <v>134849144</v>
      </c>
      <c r="AN873" s="8">
        <f t="shared" si="115"/>
        <v>134849144</v>
      </c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>
        <f t="shared" si="110"/>
        <v>134849144</v>
      </c>
      <c r="BD873" s="4"/>
      <c r="BE873" s="4">
        <f t="shared" si="111"/>
        <v>134849144</v>
      </c>
      <c r="BF873" s="30">
        <f t="shared" si="112"/>
        <v>134849144</v>
      </c>
      <c r="BG873" s="18">
        <f t="shared" si="113"/>
        <v>0</v>
      </c>
      <c r="BH873" s="23"/>
      <c r="BI873" s="23"/>
      <c r="BJ873" s="23"/>
    </row>
    <row r="874" spans="1:66" ht="15" customHeight="1" x14ac:dyDescent="0.2">
      <c r="A874" s="1">
        <v>8921151790</v>
      </c>
      <c r="B874" s="1">
        <v>892115179</v>
      </c>
      <c r="C874" s="15">
        <v>215044650</v>
      </c>
      <c r="D874" s="16" t="s">
        <v>2125</v>
      </c>
      <c r="E874" s="41" t="s">
        <v>1657</v>
      </c>
      <c r="F874" s="28"/>
      <c r="G874" s="2"/>
      <c r="H874" s="3"/>
      <c r="I874" s="2"/>
      <c r="J874" s="29"/>
      <c r="K874" s="3"/>
      <c r="L874" s="2"/>
      <c r="M874" s="8"/>
      <c r="N874" s="3"/>
      <c r="O874" s="2"/>
      <c r="P874" s="3"/>
      <c r="Q874" s="2"/>
      <c r="R874" s="3"/>
      <c r="S874" s="3"/>
      <c r="T874" s="2"/>
      <c r="U874" s="8">
        <f t="shared" si="108"/>
        <v>0</v>
      </c>
      <c r="V874" s="8"/>
      <c r="W874" s="8"/>
      <c r="X874" s="8"/>
      <c r="Y874" s="8"/>
      <c r="Z874" s="8"/>
      <c r="AA874" s="8"/>
      <c r="AB874" s="8"/>
      <c r="AC874" s="8">
        <f t="shared" si="109"/>
        <v>0</v>
      </c>
      <c r="AD874" s="8"/>
      <c r="AE874" s="8"/>
      <c r="AF874" s="8"/>
      <c r="AG874" s="8"/>
      <c r="AH874" s="8"/>
      <c r="AI874" s="8"/>
      <c r="AJ874" s="8"/>
      <c r="AK874" s="8"/>
      <c r="AL874" s="8"/>
      <c r="AM874" s="8">
        <v>189783892</v>
      </c>
      <c r="AN874" s="8">
        <f t="shared" si="115"/>
        <v>189783892</v>
      </c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>
        <v>374478495</v>
      </c>
      <c r="AZ874" s="8"/>
      <c r="BA874" s="8">
        <f>VLOOKUP(B874,[1]Hoja3!J$3:K$674,2,0)</f>
        <v>443002223</v>
      </c>
      <c r="BB874" s="8"/>
      <c r="BC874" s="8">
        <f t="shared" si="110"/>
        <v>1007264610</v>
      </c>
      <c r="BD874" s="4">
        <v>374478495</v>
      </c>
      <c r="BE874" s="4">
        <f t="shared" si="111"/>
        <v>632786115</v>
      </c>
      <c r="BF874" s="30">
        <f t="shared" si="112"/>
        <v>1007264610</v>
      </c>
      <c r="BG874" s="18">
        <f t="shared" si="113"/>
        <v>0</v>
      </c>
      <c r="BH874" s="23"/>
      <c r="BI874" s="23"/>
      <c r="BJ874" s="23"/>
    </row>
    <row r="875" spans="1:66" ht="15" customHeight="1" x14ac:dyDescent="0.2">
      <c r="A875" s="1">
        <v>8000136767</v>
      </c>
      <c r="B875" s="1">
        <v>800013676</v>
      </c>
      <c r="C875" s="15">
        <v>215905659</v>
      </c>
      <c r="D875" s="16" t="s">
        <v>2129</v>
      </c>
      <c r="E875" s="41" t="s">
        <v>1160</v>
      </c>
      <c r="F875" s="28"/>
      <c r="G875" s="2"/>
      <c r="H875" s="3"/>
      <c r="I875" s="2"/>
      <c r="J875" s="29"/>
      <c r="K875" s="3"/>
      <c r="L875" s="2"/>
      <c r="M875" s="8"/>
      <c r="N875" s="3"/>
      <c r="O875" s="2"/>
      <c r="P875" s="3"/>
      <c r="Q875" s="2"/>
      <c r="R875" s="3"/>
      <c r="S875" s="3"/>
      <c r="T875" s="2"/>
      <c r="U875" s="8">
        <f t="shared" si="108"/>
        <v>0</v>
      </c>
      <c r="V875" s="8"/>
      <c r="W875" s="8"/>
      <c r="X875" s="8"/>
      <c r="Y875" s="8"/>
      <c r="Z875" s="8"/>
      <c r="AA875" s="8"/>
      <c r="AB875" s="8"/>
      <c r="AC875" s="8">
        <f t="shared" si="109"/>
        <v>0</v>
      </c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>
        <f>VLOOKUP(B875,[1]Hoja3!J$3:K$674,2,0)</f>
        <v>518308558</v>
      </c>
      <c r="BB875" s="8"/>
      <c r="BC875" s="8">
        <f t="shared" si="110"/>
        <v>518308558</v>
      </c>
      <c r="BD875" s="4"/>
      <c r="BE875" s="4">
        <f t="shared" si="111"/>
        <v>518308558</v>
      </c>
      <c r="BF875" s="30">
        <f t="shared" si="112"/>
        <v>518308558</v>
      </c>
      <c r="BG875" s="18">
        <f t="shared" si="113"/>
        <v>0</v>
      </c>
      <c r="BH875" s="23"/>
      <c r="BI875" s="23"/>
      <c r="BJ875" s="23"/>
    </row>
    <row r="876" spans="1:66" ht="15" customHeight="1" x14ac:dyDescent="0.2">
      <c r="A876" s="1">
        <v>8920992467</v>
      </c>
      <c r="B876" s="1">
        <v>892099246</v>
      </c>
      <c r="C876" s="15">
        <v>218650686</v>
      </c>
      <c r="D876" s="16" t="s">
        <v>689</v>
      </c>
      <c r="E876" s="41" t="s">
        <v>1712</v>
      </c>
      <c r="F876" s="28"/>
      <c r="G876" s="2"/>
      <c r="H876" s="3"/>
      <c r="I876" s="2"/>
      <c r="J876" s="29"/>
      <c r="K876" s="3"/>
      <c r="L876" s="2"/>
      <c r="M876" s="8"/>
      <c r="N876" s="3"/>
      <c r="O876" s="2"/>
      <c r="P876" s="3"/>
      <c r="Q876" s="2"/>
      <c r="R876" s="3"/>
      <c r="S876" s="3"/>
      <c r="T876" s="2"/>
      <c r="U876" s="8">
        <f t="shared" si="108"/>
        <v>0</v>
      </c>
      <c r="V876" s="8"/>
      <c r="W876" s="8"/>
      <c r="X876" s="8"/>
      <c r="Y876" s="8"/>
      <c r="Z876" s="8"/>
      <c r="AA876" s="8"/>
      <c r="AB876" s="8"/>
      <c r="AC876" s="8">
        <f t="shared" si="109"/>
        <v>0</v>
      </c>
      <c r="AD876" s="8"/>
      <c r="AE876" s="8"/>
      <c r="AF876" s="8"/>
      <c r="AG876" s="8"/>
      <c r="AH876" s="8"/>
      <c r="AI876" s="8"/>
      <c r="AJ876" s="8"/>
      <c r="AK876" s="8"/>
      <c r="AL876" s="8"/>
      <c r="AM876" s="8">
        <v>29313108</v>
      </c>
      <c r="AN876" s="8">
        <f>SUBTOTAL(9,AC876:AM876)</f>
        <v>29313108</v>
      </c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>
        <v>10699785</v>
      </c>
      <c r="AZ876" s="8"/>
      <c r="BA876" s="8"/>
      <c r="BB876" s="8"/>
      <c r="BC876" s="8">
        <f t="shared" si="110"/>
        <v>40012893</v>
      </c>
      <c r="BD876" s="4">
        <v>10699785</v>
      </c>
      <c r="BE876" s="4">
        <f t="shared" si="111"/>
        <v>29313108</v>
      </c>
      <c r="BF876" s="30">
        <f t="shared" si="112"/>
        <v>40012893</v>
      </c>
      <c r="BG876" s="18">
        <f t="shared" si="113"/>
        <v>0</v>
      </c>
      <c r="BH876" s="23"/>
      <c r="BI876" s="23"/>
      <c r="BJ876" s="23"/>
    </row>
    <row r="877" spans="1:66" ht="15" customHeight="1" x14ac:dyDescent="0.2">
      <c r="A877" s="1">
        <v>8000991425</v>
      </c>
      <c r="B877" s="1">
        <v>800099142</v>
      </c>
      <c r="C877" s="15">
        <v>218752687</v>
      </c>
      <c r="D877" s="16" t="s">
        <v>741</v>
      </c>
      <c r="E877" s="41" t="s">
        <v>1763</v>
      </c>
      <c r="F877" s="28"/>
      <c r="G877" s="2"/>
      <c r="H877" s="3"/>
      <c r="I877" s="2"/>
      <c r="J877" s="29"/>
      <c r="K877" s="3"/>
      <c r="L877" s="2"/>
      <c r="M877" s="8"/>
      <c r="N877" s="3"/>
      <c r="O877" s="2"/>
      <c r="P877" s="3"/>
      <c r="Q877" s="2"/>
      <c r="R877" s="3"/>
      <c r="S877" s="3"/>
      <c r="T877" s="2"/>
      <c r="U877" s="8">
        <f t="shared" si="108"/>
        <v>0</v>
      </c>
      <c r="V877" s="8"/>
      <c r="W877" s="8"/>
      <c r="X877" s="8"/>
      <c r="Y877" s="8"/>
      <c r="Z877" s="8"/>
      <c r="AA877" s="8"/>
      <c r="AB877" s="8"/>
      <c r="AC877" s="8">
        <f t="shared" si="109"/>
        <v>0</v>
      </c>
      <c r="AD877" s="8"/>
      <c r="AE877" s="8"/>
      <c r="AF877" s="8"/>
      <c r="AG877" s="8"/>
      <c r="AH877" s="8"/>
      <c r="AI877" s="8"/>
      <c r="AJ877" s="8"/>
      <c r="AK877" s="8"/>
      <c r="AL877" s="8"/>
      <c r="AM877" s="8">
        <v>31698235</v>
      </c>
      <c r="AN877" s="8">
        <f>SUBTOTAL(9,AC877:AM877)</f>
        <v>31698235</v>
      </c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>
        <f>VLOOKUP(B877,[1]Hoja3!J$3:K$674,2,0)</f>
        <v>200465302</v>
      </c>
      <c r="BB877" s="8"/>
      <c r="BC877" s="8">
        <f t="shared" si="110"/>
        <v>232163537</v>
      </c>
      <c r="BD877" s="4"/>
      <c r="BE877" s="4">
        <f t="shared" si="111"/>
        <v>232163537</v>
      </c>
      <c r="BF877" s="30">
        <f t="shared" si="112"/>
        <v>232163537</v>
      </c>
      <c r="BG877" s="18">
        <f t="shared" si="113"/>
        <v>0</v>
      </c>
      <c r="BH877" s="23"/>
      <c r="BI877" s="23"/>
      <c r="BJ877" s="23"/>
    </row>
    <row r="878" spans="1:66" ht="15" customHeight="1" x14ac:dyDescent="0.2">
      <c r="A878" s="1">
        <v>8918021519</v>
      </c>
      <c r="B878" s="1">
        <v>891802151</v>
      </c>
      <c r="C878" s="15">
        <v>216715667</v>
      </c>
      <c r="D878" s="16" t="s">
        <v>298</v>
      </c>
      <c r="E878" s="41" t="s">
        <v>1329</v>
      </c>
      <c r="F878" s="28"/>
      <c r="G878" s="17"/>
      <c r="H878" s="3"/>
      <c r="I878" s="2"/>
      <c r="J878" s="29"/>
      <c r="K878" s="3"/>
      <c r="L878" s="17"/>
      <c r="M878" s="34"/>
      <c r="N878" s="3"/>
      <c r="O878" s="17"/>
      <c r="P878" s="3"/>
      <c r="Q878" s="2"/>
      <c r="R878" s="3"/>
      <c r="S878" s="3"/>
      <c r="T878" s="17"/>
      <c r="U878" s="8">
        <f t="shared" si="108"/>
        <v>0</v>
      </c>
      <c r="V878" s="8"/>
      <c r="W878" s="8"/>
      <c r="X878" s="8"/>
      <c r="Y878" s="8"/>
      <c r="Z878" s="8"/>
      <c r="AA878" s="8"/>
      <c r="AB878" s="8"/>
      <c r="AC878" s="8">
        <f t="shared" si="109"/>
        <v>0</v>
      </c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>
        <v>39127040</v>
      </c>
      <c r="AZ878" s="8"/>
      <c r="BA878" s="8">
        <f>VLOOKUP(B878,[1]Hoja3!J$3:K$674,2,0)</f>
        <v>82751417</v>
      </c>
      <c r="BB878" s="8"/>
      <c r="BC878" s="8">
        <f t="shared" si="110"/>
        <v>121878457</v>
      </c>
      <c r="BD878" s="4">
        <v>39127040</v>
      </c>
      <c r="BE878" s="4">
        <f t="shared" si="111"/>
        <v>82751417</v>
      </c>
      <c r="BF878" s="30">
        <f t="shared" si="112"/>
        <v>121878457</v>
      </c>
      <c r="BG878" s="18">
        <f t="shared" si="113"/>
        <v>0</v>
      </c>
      <c r="BH878" s="23"/>
      <c r="BI878" s="14"/>
      <c r="BJ878" s="14"/>
      <c r="BK878" s="14"/>
      <c r="BL878" s="14"/>
      <c r="BM878" s="14"/>
      <c r="BN878" s="14"/>
    </row>
    <row r="879" spans="1:66" ht="15" customHeight="1" x14ac:dyDescent="0.2">
      <c r="A879" s="1">
        <v>8001037201</v>
      </c>
      <c r="B879" s="1">
        <v>800103720</v>
      </c>
      <c r="C879" s="15">
        <v>212585325</v>
      </c>
      <c r="D879" s="16" t="s">
        <v>969</v>
      </c>
      <c r="E879" s="41" t="s">
        <v>2029</v>
      </c>
      <c r="F879" s="28"/>
      <c r="G879" s="2"/>
      <c r="H879" s="3"/>
      <c r="I879" s="2"/>
      <c r="J879" s="29"/>
      <c r="K879" s="3"/>
      <c r="L879" s="2"/>
      <c r="M879" s="8"/>
      <c r="N879" s="3"/>
      <c r="O879" s="2"/>
      <c r="P879" s="3"/>
      <c r="Q879" s="2"/>
      <c r="R879" s="3"/>
      <c r="S879" s="3"/>
      <c r="T879" s="2"/>
      <c r="U879" s="8">
        <f t="shared" si="108"/>
        <v>0</v>
      </c>
      <c r="V879" s="8"/>
      <c r="W879" s="8"/>
      <c r="X879" s="8"/>
      <c r="Y879" s="8"/>
      <c r="Z879" s="8"/>
      <c r="AA879" s="8"/>
      <c r="AB879" s="8"/>
      <c r="AC879" s="8">
        <f t="shared" si="109"/>
        <v>0</v>
      </c>
      <c r="AD879" s="8"/>
      <c r="AE879" s="8"/>
      <c r="AF879" s="8"/>
      <c r="AG879" s="8"/>
      <c r="AH879" s="8"/>
      <c r="AI879" s="8"/>
      <c r="AJ879" s="8"/>
      <c r="AK879" s="8"/>
      <c r="AL879" s="8"/>
      <c r="AM879" s="8">
        <v>115180134</v>
      </c>
      <c r="AN879" s="8">
        <f t="shared" ref="AN879:AN884" si="116">SUBTOTAL(9,AC879:AM879)</f>
        <v>115180134</v>
      </c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>
        <f t="shared" si="110"/>
        <v>115180134</v>
      </c>
      <c r="BD879" s="4"/>
      <c r="BE879" s="4">
        <f t="shared" si="111"/>
        <v>115180134</v>
      </c>
      <c r="BF879" s="30">
        <f t="shared" si="112"/>
        <v>115180134</v>
      </c>
      <c r="BG879" s="18">
        <f t="shared" si="113"/>
        <v>0</v>
      </c>
      <c r="BH879" s="23"/>
      <c r="BI879" s="23"/>
      <c r="BJ879" s="23"/>
    </row>
    <row r="880" spans="1:66" ht="15" customHeight="1" x14ac:dyDescent="0.2">
      <c r="A880" s="1">
        <v>8909843765</v>
      </c>
      <c r="B880" s="1">
        <v>890984376</v>
      </c>
      <c r="C880" s="15">
        <v>216005660</v>
      </c>
      <c r="D880" s="16" t="s">
        <v>131</v>
      </c>
      <c r="E880" s="41" t="s">
        <v>1161</v>
      </c>
      <c r="F880" s="28"/>
      <c r="G880" s="2"/>
      <c r="H880" s="3"/>
      <c r="I880" s="2"/>
      <c r="J880" s="29"/>
      <c r="K880" s="3"/>
      <c r="L880" s="2"/>
      <c r="M880" s="8"/>
      <c r="N880" s="3"/>
      <c r="O880" s="2"/>
      <c r="P880" s="3"/>
      <c r="Q880" s="2"/>
      <c r="R880" s="3"/>
      <c r="S880" s="3"/>
      <c r="T880" s="2"/>
      <c r="U880" s="8">
        <f t="shared" si="108"/>
        <v>0</v>
      </c>
      <c r="V880" s="8"/>
      <c r="W880" s="8"/>
      <c r="X880" s="8"/>
      <c r="Y880" s="8"/>
      <c r="Z880" s="8"/>
      <c r="AA880" s="8"/>
      <c r="AB880" s="8"/>
      <c r="AC880" s="8">
        <f t="shared" si="109"/>
        <v>0</v>
      </c>
      <c r="AD880" s="8"/>
      <c r="AE880" s="8"/>
      <c r="AF880" s="8"/>
      <c r="AG880" s="8"/>
      <c r="AH880" s="8"/>
      <c r="AI880" s="8"/>
      <c r="AJ880" s="8"/>
      <c r="AK880" s="8"/>
      <c r="AL880" s="8"/>
      <c r="AM880" s="8">
        <v>120275193</v>
      </c>
      <c r="AN880" s="8">
        <f t="shared" si="116"/>
        <v>120275193</v>
      </c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>
        <f>VLOOKUP(B880,[1]Hoja3!J$3:K$674,2,0)</f>
        <v>88232376</v>
      </c>
      <c r="BB880" s="8"/>
      <c r="BC880" s="8">
        <f t="shared" si="110"/>
        <v>208507569</v>
      </c>
      <c r="BD880" s="4"/>
      <c r="BE880" s="4">
        <f t="shared" si="111"/>
        <v>208507569</v>
      </c>
      <c r="BF880" s="30">
        <f t="shared" si="112"/>
        <v>208507569</v>
      </c>
      <c r="BG880" s="18">
        <f t="shared" si="113"/>
        <v>0</v>
      </c>
      <c r="BH880" s="23"/>
      <c r="BI880" s="23"/>
      <c r="BJ880" s="23"/>
    </row>
    <row r="881" spans="1:66" ht="15" customHeight="1" x14ac:dyDescent="0.2">
      <c r="A881" s="1">
        <v>8907008428</v>
      </c>
      <c r="B881" s="1">
        <v>890700842</v>
      </c>
      <c r="C881" s="15">
        <v>217873678</v>
      </c>
      <c r="D881" s="16" t="s">
        <v>2240</v>
      </c>
      <c r="E881" s="41" t="s">
        <v>1967</v>
      </c>
      <c r="F881" s="28"/>
      <c r="G881" s="17"/>
      <c r="H881" s="3"/>
      <c r="I881" s="2"/>
      <c r="J881" s="29"/>
      <c r="K881" s="3"/>
      <c r="L881" s="17"/>
      <c r="M881" s="34"/>
      <c r="N881" s="3"/>
      <c r="O881" s="17"/>
      <c r="P881" s="3"/>
      <c r="Q881" s="2"/>
      <c r="R881" s="3"/>
      <c r="S881" s="3"/>
      <c r="T881" s="17"/>
      <c r="U881" s="8">
        <f t="shared" si="108"/>
        <v>0</v>
      </c>
      <c r="V881" s="8"/>
      <c r="W881" s="8"/>
      <c r="X881" s="8"/>
      <c r="Y881" s="8"/>
      <c r="Z881" s="8"/>
      <c r="AA881" s="8"/>
      <c r="AB881" s="8"/>
      <c r="AC881" s="8">
        <f t="shared" si="109"/>
        <v>0</v>
      </c>
      <c r="AD881" s="8"/>
      <c r="AE881" s="8"/>
      <c r="AF881" s="8"/>
      <c r="AG881" s="8"/>
      <c r="AH881" s="8"/>
      <c r="AI881" s="8"/>
      <c r="AJ881" s="8"/>
      <c r="AK881" s="8"/>
      <c r="AL881" s="8"/>
      <c r="AM881" s="8">
        <v>68151645</v>
      </c>
      <c r="AN881" s="8">
        <f t="shared" si="116"/>
        <v>68151645</v>
      </c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>
        <v>102599290</v>
      </c>
      <c r="AZ881" s="8"/>
      <c r="BA881" s="8">
        <f>VLOOKUP(B881,[1]Hoja3!J$3:K$674,2,0)</f>
        <v>157713075</v>
      </c>
      <c r="BB881" s="8"/>
      <c r="BC881" s="8">
        <f t="shared" si="110"/>
        <v>328464010</v>
      </c>
      <c r="BD881" s="4">
        <v>102599290</v>
      </c>
      <c r="BE881" s="4">
        <f t="shared" si="111"/>
        <v>225864720</v>
      </c>
      <c r="BF881" s="30">
        <f t="shared" si="112"/>
        <v>328464010</v>
      </c>
      <c r="BG881" s="18">
        <f t="shared" si="113"/>
        <v>0</v>
      </c>
      <c r="BH881" s="23"/>
      <c r="BI881" s="14"/>
      <c r="BJ881" s="14"/>
      <c r="BK881" s="14"/>
      <c r="BL881" s="14"/>
      <c r="BM881" s="14"/>
      <c r="BN881" s="14"/>
    </row>
    <row r="882" spans="1:66" ht="15" customHeight="1" x14ac:dyDescent="0.2">
      <c r="A882" s="1">
        <v>8922005916</v>
      </c>
      <c r="B882" s="1">
        <v>892200591</v>
      </c>
      <c r="C882" s="15">
        <v>210870708</v>
      </c>
      <c r="D882" s="16" t="s">
        <v>907</v>
      </c>
      <c r="E882" s="41" t="s">
        <v>1922</v>
      </c>
      <c r="F882" s="28"/>
      <c r="G882" s="2"/>
      <c r="H882" s="3"/>
      <c r="I882" s="2"/>
      <c r="J882" s="29"/>
      <c r="K882" s="3"/>
      <c r="L882" s="2"/>
      <c r="M882" s="8"/>
      <c r="N882" s="3"/>
      <c r="O882" s="2"/>
      <c r="P882" s="3"/>
      <c r="Q882" s="2"/>
      <c r="R882" s="3"/>
      <c r="S882" s="3"/>
      <c r="T882" s="2"/>
      <c r="U882" s="8">
        <f t="shared" si="108"/>
        <v>0</v>
      </c>
      <c r="V882" s="8"/>
      <c r="W882" s="8"/>
      <c r="X882" s="8"/>
      <c r="Y882" s="8"/>
      <c r="Z882" s="8"/>
      <c r="AA882" s="8"/>
      <c r="AB882" s="8"/>
      <c r="AC882" s="8">
        <f t="shared" si="109"/>
        <v>0</v>
      </c>
      <c r="AD882" s="8"/>
      <c r="AE882" s="8"/>
      <c r="AF882" s="8"/>
      <c r="AG882" s="8"/>
      <c r="AH882" s="8"/>
      <c r="AI882" s="8"/>
      <c r="AJ882" s="8"/>
      <c r="AK882" s="8"/>
      <c r="AL882" s="8"/>
      <c r="AM882" s="8">
        <v>52831576</v>
      </c>
      <c r="AN882" s="8">
        <f t="shared" si="116"/>
        <v>52831576</v>
      </c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>
        <v>579229200</v>
      </c>
      <c r="AZ882" s="8"/>
      <c r="BA882" s="8">
        <f>VLOOKUP(B882,[1]Hoja3!J$3:K$674,2,0)</f>
        <v>964005739</v>
      </c>
      <c r="BB882" s="8"/>
      <c r="BC882" s="8">
        <f t="shared" si="110"/>
        <v>1596066515</v>
      </c>
      <c r="BD882" s="4">
        <v>579229200</v>
      </c>
      <c r="BE882" s="4">
        <f t="shared" si="111"/>
        <v>1016837315</v>
      </c>
      <c r="BF882" s="30">
        <f t="shared" si="112"/>
        <v>1596066515</v>
      </c>
      <c r="BG882" s="18">
        <f t="shared" si="113"/>
        <v>0</v>
      </c>
      <c r="BH882" s="23"/>
      <c r="BI882" s="23"/>
      <c r="BJ882" s="23"/>
    </row>
    <row r="883" spans="1:66" ht="15" customHeight="1" x14ac:dyDescent="0.2">
      <c r="A883" s="1">
        <v>8923010933</v>
      </c>
      <c r="B883" s="1">
        <v>892301093</v>
      </c>
      <c r="C883" s="15">
        <v>217020770</v>
      </c>
      <c r="D883" s="16" t="s">
        <v>435</v>
      </c>
      <c r="E883" s="41" t="s">
        <v>1462</v>
      </c>
      <c r="F883" s="28"/>
      <c r="G883" s="2"/>
      <c r="H883" s="3"/>
      <c r="I883" s="2"/>
      <c r="J883" s="29"/>
      <c r="K883" s="3"/>
      <c r="L883" s="2"/>
      <c r="M883" s="8"/>
      <c r="N883" s="3"/>
      <c r="O883" s="2"/>
      <c r="P883" s="3"/>
      <c r="Q883" s="2"/>
      <c r="R883" s="3"/>
      <c r="S883" s="3"/>
      <c r="T883" s="2"/>
      <c r="U883" s="8">
        <f t="shared" si="108"/>
        <v>0</v>
      </c>
      <c r="V883" s="8"/>
      <c r="W883" s="8"/>
      <c r="X883" s="8"/>
      <c r="Y883" s="8"/>
      <c r="Z883" s="8"/>
      <c r="AA883" s="8"/>
      <c r="AB883" s="8"/>
      <c r="AC883" s="8">
        <f t="shared" si="109"/>
        <v>0</v>
      </c>
      <c r="AD883" s="8"/>
      <c r="AE883" s="8"/>
      <c r="AF883" s="8"/>
      <c r="AG883" s="8"/>
      <c r="AH883" s="8"/>
      <c r="AI883" s="8"/>
      <c r="AJ883" s="8"/>
      <c r="AK883" s="8"/>
      <c r="AL883" s="8"/>
      <c r="AM883" s="8">
        <v>31628964</v>
      </c>
      <c r="AN883" s="8">
        <f t="shared" si="116"/>
        <v>31628964</v>
      </c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>
        <v>176103235</v>
      </c>
      <c r="AZ883" s="8"/>
      <c r="BA883" s="8">
        <f>VLOOKUP(B883,[1]Hoja3!J$3:K$674,2,0)</f>
        <v>353846449</v>
      </c>
      <c r="BB883" s="8"/>
      <c r="BC883" s="8">
        <f t="shared" si="110"/>
        <v>561578648</v>
      </c>
      <c r="BD883" s="4">
        <v>176103235</v>
      </c>
      <c r="BE883" s="4">
        <f t="shared" si="111"/>
        <v>385475413</v>
      </c>
      <c r="BF883" s="30">
        <f t="shared" si="112"/>
        <v>561578648</v>
      </c>
      <c r="BG883" s="18">
        <f t="shared" si="113"/>
        <v>0</v>
      </c>
      <c r="BH883" s="23"/>
      <c r="BI883" s="23"/>
      <c r="BJ883" s="23"/>
    </row>
    <row r="884" spans="1:66" ht="15" customHeight="1" x14ac:dyDescent="0.2">
      <c r="A884" s="1">
        <v>8920995486</v>
      </c>
      <c r="B884" s="1">
        <v>892099548</v>
      </c>
      <c r="C884" s="15">
        <v>218950689</v>
      </c>
      <c r="D884" s="16" t="s">
        <v>690</v>
      </c>
      <c r="E884" s="41" t="s">
        <v>1713</v>
      </c>
      <c r="F884" s="28"/>
      <c r="G884" s="2"/>
      <c r="H884" s="3"/>
      <c r="I884" s="2"/>
      <c r="J884" s="29"/>
      <c r="K884" s="3"/>
      <c r="L884" s="2"/>
      <c r="M884" s="8"/>
      <c r="N884" s="3"/>
      <c r="O884" s="2"/>
      <c r="P884" s="3"/>
      <c r="Q884" s="2"/>
      <c r="R884" s="3"/>
      <c r="S884" s="3"/>
      <c r="T884" s="2"/>
      <c r="U884" s="8">
        <f t="shared" si="108"/>
        <v>0</v>
      </c>
      <c r="V884" s="8"/>
      <c r="W884" s="8"/>
      <c r="X884" s="8"/>
      <c r="Y884" s="8"/>
      <c r="Z884" s="8"/>
      <c r="AA884" s="8"/>
      <c r="AB884" s="8"/>
      <c r="AC884" s="8">
        <f t="shared" si="109"/>
        <v>0</v>
      </c>
      <c r="AD884" s="8"/>
      <c r="AE884" s="8"/>
      <c r="AF884" s="8"/>
      <c r="AG884" s="8"/>
      <c r="AH884" s="8"/>
      <c r="AI884" s="8"/>
      <c r="AJ884" s="8"/>
      <c r="AK884" s="8"/>
      <c r="AL884" s="8"/>
      <c r="AM884" s="8">
        <v>380805611</v>
      </c>
      <c r="AN884" s="8">
        <f t="shared" si="116"/>
        <v>380805611</v>
      </c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>
        <v>140983620</v>
      </c>
      <c r="AZ884" s="8"/>
      <c r="BA884" s="8"/>
      <c r="BB884" s="8"/>
      <c r="BC884" s="8">
        <f t="shared" si="110"/>
        <v>521789231</v>
      </c>
      <c r="BD884" s="4">
        <v>140983620</v>
      </c>
      <c r="BE884" s="4">
        <f t="shared" si="111"/>
        <v>380805611</v>
      </c>
      <c r="BF884" s="30">
        <f t="shared" si="112"/>
        <v>521789231</v>
      </c>
      <c r="BG884" s="18">
        <f t="shared" si="113"/>
        <v>0</v>
      </c>
      <c r="BH884" s="23"/>
      <c r="BI884" s="23"/>
      <c r="BJ884" s="23"/>
    </row>
    <row r="885" spans="1:66" ht="15" customHeight="1" x14ac:dyDescent="0.2">
      <c r="A885" s="1">
        <v>8918578211</v>
      </c>
      <c r="B885" s="1">
        <v>891857821</v>
      </c>
      <c r="C885" s="15">
        <v>217315673</v>
      </c>
      <c r="D885" s="16" t="s">
        <v>299</v>
      </c>
      <c r="E885" s="41" t="s">
        <v>1330</v>
      </c>
      <c r="F885" s="28"/>
      <c r="G885" s="17"/>
      <c r="H885" s="3"/>
      <c r="I885" s="2"/>
      <c r="J885" s="29"/>
      <c r="K885" s="3"/>
      <c r="L885" s="17"/>
      <c r="M885" s="34"/>
      <c r="N885" s="3"/>
      <c r="O885" s="17"/>
      <c r="P885" s="3"/>
      <c r="Q885" s="2"/>
      <c r="R885" s="3"/>
      <c r="S885" s="3"/>
      <c r="T885" s="17"/>
      <c r="U885" s="8">
        <f t="shared" si="108"/>
        <v>0</v>
      </c>
      <c r="V885" s="8"/>
      <c r="W885" s="8"/>
      <c r="X885" s="8"/>
      <c r="Y885" s="8"/>
      <c r="Z885" s="8"/>
      <c r="AA885" s="8"/>
      <c r="AB885" s="8"/>
      <c r="AC885" s="8">
        <f t="shared" si="109"/>
        <v>0</v>
      </c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>
        <v>34927660</v>
      </c>
      <c r="AZ885" s="8"/>
      <c r="BA885" s="8">
        <f>VLOOKUP(B885,[1]Hoja3!J$3:K$674,2,0)</f>
        <v>50364666</v>
      </c>
      <c r="BB885" s="8"/>
      <c r="BC885" s="8">
        <f t="shared" si="110"/>
        <v>85292326</v>
      </c>
      <c r="BD885" s="4">
        <v>34927660</v>
      </c>
      <c r="BE885" s="4">
        <f t="shared" si="111"/>
        <v>50364666</v>
      </c>
      <c r="BF885" s="30">
        <f t="shared" si="112"/>
        <v>85292326</v>
      </c>
      <c r="BG885" s="18">
        <f t="shared" si="113"/>
        <v>0</v>
      </c>
      <c r="BH885" s="23"/>
      <c r="BI885" s="14"/>
      <c r="BJ885" s="14"/>
      <c r="BK885" s="14"/>
      <c r="BL885" s="14"/>
      <c r="BM885" s="14"/>
      <c r="BN885" s="14"/>
    </row>
    <row r="886" spans="1:66" ht="15" customHeight="1" x14ac:dyDescent="0.2">
      <c r="A886" s="1">
        <v>8918012861</v>
      </c>
      <c r="B886" s="1">
        <v>891801286</v>
      </c>
      <c r="C886" s="15">
        <v>217615676</v>
      </c>
      <c r="D886" s="16" t="s">
        <v>300</v>
      </c>
      <c r="E886" s="41" t="s">
        <v>1331</v>
      </c>
      <c r="F886" s="28"/>
      <c r="G886" s="17"/>
      <c r="H886" s="3"/>
      <c r="I886" s="2"/>
      <c r="J886" s="29"/>
      <c r="K886" s="3"/>
      <c r="L886" s="17"/>
      <c r="M886" s="34"/>
      <c r="N886" s="3"/>
      <c r="O886" s="17"/>
      <c r="P886" s="3"/>
      <c r="Q886" s="2"/>
      <c r="R886" s="3"/>
      <c r="S886" s="3"/>
      <c r="T886" s="17"/>
      <c r="U886" s="8">
        <f t="shared" si="108"/>
        <v>0</v>
      </c>
      <c r="V886" s="8"/>
      <c r="W886" s="8"/>
      <c r="X886" s="8"/>
      <c r="Y886" s="8"/>
      <c r="Z886" s="8"/>
      <c r="AA886" s="8"/>
      <c r="AB886" s="8"/>
      <c r="AC886" s="8">
        <f t="shared" si="109"/>
        <v>0</v>
      </c>
      <c r="AD886" s="8"/>
      <c r="AE886" s="8"/>
      <c r="AF886" s="8"/>
      <c r="AG886" s="8"/>
      <c r="AH886" s="8"/>
      <c r="AI886" s="8"/>
      <c r="AJ886" s="8"/>
      <c r="AK886" s="8"/>
      <c r="AL886" s="8"/>
      <c r="AM886" s="8">
        <v>31334193</v>
      </c>
      <c r="AN886" s="8">
        <f>SUBTOTAL(9,AC886:AM886)</f>
        <v>31334193</v>
      </c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>
        <v>28203090</v>
      </c>
      <c r="AZ886" s="8"/>
      <c r="BA886" s="8">
        <f>VLOOKUP(B886,[1]Hoja3!J$3:K$674,2,0)</f>
        <v>26159703</v>
      </c>
      <c r="BB886" s="8"/>
      <c r="BC886" s="8">
        <f t="shared" si="110"/>
        <v>85696986</v>
      </c>
      <c r="BD886" s="4">
        <v>28203090</v>
      </c>
      <c r="BE886" s="4">
        <f t="shared" si="111"/>
        <v>57493896</v>
      </c>
      <c r="BF886" s="30">
        <f t="shared" si="112"/>
        <v>85696986</v>
      </c>
      <c r="BG886" s="18">
        <f t="shared" si="113"/>
        <v>0</v>
      </c>
      <c r="BH886" s="23"/>
      <c r="BI886" s="14"/>
      <c r="BJ886" s="14"/>
      <c r="BK886" s="14"/>
      <c r="BL886" s="14"/>
      <c r="BM886" s="14"/>
      <c r="BN886" s="14"/>
    </row>
    <row r="887" spans="1:66" ht="15" customHeight="1" x14ac:dyDescent="0.2">
      <c r="A887" s="1">
        <v>8002529229</v>
      </c>
      <c r="B887" s="1">
        <v>800252922</v>
      </c>
      <c r="C887" s="15">
        <v>215786757</v>
      </c>
      <c r="D887" s="16" t="s">
        <v>983</v>
      </c>
      <c r="E887" s="41" t="s">
        <v>2041</v>
      </c>
      <c r="F887" s="28"/>
      <c r="G887" s="17"/>
      <c r="H887" s="3"/>
      <c r="I887" s="2"/>
      <c r="J887" s="29"/>
      <c r="K887" s="3"/>
      <c r="L887" s="17"/>
      <c r="M887" s="34"/>
      <c r="N887" s="3"/>
      <c r="O887" s="17"/>
      <c r="P887" s="3"/>
      <c r="Q887" s="2"/>
      <c r="R887" s="3"/>
      <c r="S887" s="3"/>
      <c r="T887" s="17"/>
      <c r="U887" s="8">
        <f t="shared" si="108"/>
        <v>0</v>
      </c>
      <c r="V887" s="8"/>
      <c r="W887" s="8"/>
      <c r="X887" s="8"/>
      <c r="Y887" s="8"/>
      <c r="Z887" s="8"/>
      <c r="AA887" s="8"/>
      <c r="AB887" s="8"/>
      <c r="AC887" s="8">
        <f t="shared" si="109"/>
        <v>0</v>
      </c>
      <c r="AD887" s="8"/>
      <c r="AE887" s="8"/>
      <c r="AF887" s="8"/>
      <c r="AG887" s="8"/>
      <c r="AH887" s="8"/>
      <c r="AI887" s="8"/>
      <c r="AJ887" s="8"/>
      <c r="AK887" s="8"/>
      <c r="AL887" s="8"/>
      <c r="AM887" s="8">
        <v>129890809</v>
      </c>
      <c r="AN887" s="8">
        <f>SUBTOTAL(9,AC887:AM887)</f>
        <v>129890809</v>
      </c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>
        <v>156264785</v>
      </c>
      <c r="AZ887" s="8"/>
      <c r="BA887" s="8">
        <f>VLOOKUP(B887,[1]Hoja3!J$3:K$674,2,0)</f>
        <v>165657126</v>
      </c>
      <c r="BB887" s="8"/>
      <c r="BC887" s="8">
        <f t="shared" si="110"/>
        <v>451812720</v>
      </c>
      <c r="BD887" s="4">
        <v>156264785</v>
      </c>
      <c r="BE887" s="4">
        <f t="shared" si="111"/>
        <v>295547935</v>
      </c>
      <c r="BF887" s="30">
        <f t="shared" si="112"/>
        <v>451812720</v>
      </c>
      <c r="BG887" s="18">
        <f t="shared" si="113"/>
        <v>0</v>
      </c>
      <c r="BH887" s="23"/>
      <c r="BI887" s="14"/>
      <c r="BJ887" s="14"/>
      <c r="BK887" s="14"/>
      <c r="BL887" s="14"/>
      <c r="BM887" s="14"/>
      <c r="BN887" s="14"/>
    </row>
    <row r="888" spans="1:66" ht="15" customHeight="1" x14ac:dyDescent="0.2">
      <c r="A888" s="1">
        <v>8902109502</v>
      </c>
      <c r="B888" s="1">
        <v>890210950</v>
      </c>
      <c r="C888" s="15">
        <v>218668686</v>
      </c>
      <c r="D888" s="16" t="s">
        <v>877</v>
      </c>
      <c r="E888" s="41" t="s">
        <v>1890</v>
      </c>
      <c r="F888" s="28"/>
      <c r="G888" s="2"/>
      <c r="H888" s="3"/>
      <c r="I888" s="2"/>
      <c r="J888" s="29"/>
      <c r="K888" s="3"/>
      <c r="L888" s="2"/>
      <c r="M888" s="8"/>
      <c r="N888" s="3"/>
      <c r="O888" s="2"/>
      <c r="P888" s="3"/>
      <c r="Q888" s="2"/>
      <c r="R888" s="3"/>
      <c r="S888" s="3"/>
      <c r="T888" s="2"/>
      <c r="U888" s="8">
        <f t="shared" si="108"/>
        <v>0</v>
      </c>
      <c r="V888" s="8"/>
      <c r="W888" s="8"/>
      <c r="X888" s="8"/>
      <c r="Y888" s="8"/>
      <c r="Z888" s="8"/>
      <c r="AA888" s="8"/>
      <c r="AB888" s="8"/>
      <c r="AC888" s="8">
        <f t="shared" si="109"/>
        <v>0</v>
      </c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>
        <v>23253940</v>
      </c>
      <c r="AZ888" s="8"/>
      <c r="BA888" s="8">
        <f>VLOOKUP(B888,[1]Hoja3!J$3:K$674,2,0)</f>
        <v>35229974</v>
      </c>
      <c r="BB888" s="8"/>
      <c r="BC888" s="8">
        <f t="shared" si="110"/>
        <v>58483914</v>
      </c>
      <c r="BD888" s="4">
        <v>23253940</v>
      </c>
      <c r="BE888" s="4">
        <f t="shared" si="111"/>
        <v>35229974</v>
      </c>
      <c r="BF888" s="30">
        <f t="shared" si="112"/>
        <v>58483914</v>
      </c>
      <c r="BG888" s="18">
        <f t="shared" si="113"/>
        <v>0</v>
      </c>
      <c r="BH888" s="23"/>
      <c r="BI888" s="23"/>
      <c r="BJ888" s="23"/>
    </row>
    <row r="889" spans="1:66" ht="15" customHeight="1" x14ac:dyDescent="0.2">
      <c r="A889" s="1">
        <v>8922005923</v>
      </c>
      <c r="B889" s="1">
        <v>892200592</v>
      </c>
      <c r="C889" s="15">
        <v>211370713</v>
      </c>
      <c r="D889" s="16" t="s">
        <v>908</v>
      </c>
      <c r="E889" s="41" t="s">
        <v>1923</v>
      </c>
      <c r="F889" s="28"/>
      <c r="G889" s="2"/>
      <c r="H889" s="3"/>
      <c r="I889" s="2"/>
      <c r="J889" s="29"/>
      <c r="K889" s="3"/>
      <c r="L889" s="2"/>
      <c r="M889" s="8"/>
      <c r="N889" s="3"/>
      <c r="O889" s="2"/>
      <c r="P889" s="3"/>
      <c r="Q889" s="2"/>
      <c r="R889" s="3"/>
      <c r="S889" s="3"/>
      <c r="T889" s="2"/>
      <c r="U889" s="8">
        <f t="shared" si="108"/>
        <v>0</v>
      </c>
      <c r="V889" s="8"/>
      <c r="W889" s="8"/>
      <c r="X889" s="8"/>
      <c r="Y889" s="8"/>
      <c r="Z889" s="8"/>
      <c r="AA889" s="8"/>
      <c r="AB889" s="8"/>
      <c r="AC889" s="8">
        <f t="shared" si="109"/>
        <v>0</v>
      </c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>
        <f>VLOOKUP(B889,[1]Hoja3!J$3:K$674,2,0)</f>
        <v>1094725168</v>
      </c>
      <c r="BB889" s="8"/>
      <c r="BC889" s="8">
        <f t="shared" si="110"/>
        <v>1094725168</v>
      </c>
      <c r="BD889" s="4"/>
      <c r="BE889" s="4">
        <f t="shared" si="111"/>
        <v>1094725168</v>
      </c>
      <c r="BF889" s="30">
        <f t="shared" si="112"/>
        <v>1094725168</v>
      </c>
      <c r="BG889" s="18">
        <f t="shared" si="113"/>
        <v>0</v>
      </c>
      <c r="BH889" s="23"/>
      <c r="BI889" s="23"/>
      <c r="BJ889" s="23"/>
    </row>
    <row r="890" spans="1:66" ht="15" customHeight="1" x14ac:dyDescent="0.2">
      <c r="A890" s="1">
        <v>8918013692</v>
      </c>
      <c r="B890" s="1">
        <v>891801369</v>
      </c>
      <c r="C890" s="15">
        <v>218115681</v>
      </c>
      <c r="D890" s="16" t="s">
        <v>301</v>
      </c>
      <c r="E890" s="41" t="s">
        <v>1332</v>
      </c>
      <c r="F890" s="28"/>
      <c r="G890" s="17"/>
      <c r="H890" s="3"/>
      <c r="I890" s="2"/>
      <c r="J890" s="29"/>
      <c r="K890" s="3"/>
      <c r="L890" s="17"/>
      <c r="M890" s="34"/>
      <c r="N890" s="3"/>
      <c r="O890" s="17"/>
      <c r="P890" s="3"/>
      <c r="Q890" s="2"/>
      <c r="R890" s="3"/>
      <c r="S890" s="3"/>
      <c r="T890" s="17"/>
      <c r="U890" s="8">
        <f t="shared" si="108"/>
        <v>0</v>
      </c>
      <c r="V890" s="8"/>
      <c r="W890" s="8"/>
      <c r="X890" s="8"/>
      <c r="Y890" s="8"/>
      <c r="Z890" s="8"/>
      <c r="AA890" s="8"/>
      <c r="AB890" s="8"/>
      <c r="AC890" s="8">
        <f t="shared" si="109"/>
        <v>0</v>
      </c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>
        <v>70941805</v>
      </c>
      <c r="AZ890" s="8"/>
      <c r="BA890" s="8">
        <f>VLOOKUP(B890,[1]Hoja3!J$3:K$674,2,0)</f>
        <v>115660597</v>
      </c>
      <c r="BB890" s="8"/>
      <c r="BC890" s="8">
        <f t="shared" si="110"/>
        <v>186602402</v>
      </c>
      <c r="BD890" s="4">
        <v>70941805</v>
      </c>
      <c r="BE890" s="4">
        <f t="shared" si="111"/>
        <v>115660597</v>
      </c>
      <c r="BF890" s="30">
        <f t="shared" si="112"/>
        <v>186602402</v>
      </c>
      <c r="BG890" s="18">
        <f t="shared" si="113"/>
        <v>0</v>
      </c>
      <c r="BH890" s="23"/>
      <c r="BI890" s="14"/>
      <c r="BJ890" s="14"/>
      <c r="BK890" s="14"/>
      <c r="BL890" s="14"/>
      <c r="BM890" s="14"/>
      <c r="BN890" s="14"/>
    </row>
    <row r="891" spans="1:66" ht="15" customHeight="1" x14ac:dyDescent="0.2">
      <c r="A891" s="1">
        <v>8904802036</v>
      </c>
      <c r="B891" s="1">
        <v>890480203</v>
      </c>
      <c r="C891" s="15">
        <v>217013670</v>
      </c>
      <c r="D891" s="16" t="s">
        <v>206</v>
      </c>
      <c r="E891" s="41" t="s">
        <v>1240</v>
      </c>
      <c r="F891" s="28"/>
      <c r="G891" s="2"/>
      <c r="H891" s="3"/>
      <c r="I891" s="2"/>
      <c r="J891" s="29"/>
      <c r="K891" s="3"/>
      <c r="L891" s="2"/>
      <c r="M891" s="8"/>
      <c r="N891" s="3"/>
      <c r="O891" s="2"/>
      <c r="P891" s="3"/>
      <c r="Q891" s="2"/>
      <c r="R891" s="3"/>
      <c r="S891" s="3"/>
      <c r="T891" s="2"/>
      <c r="U891" s="8">
        <f t="shared" si="108"/>
        <v>0</v>
      </c>
      <c r="V891" s="8"/>
      <c r="W891" s="8"/>
      <c r="X891" s="8"/>
      <c r="Y891" s="8"/>
      <c r="Z891" s="8"/>
      <c r="AA891" s="8"/>
      <c r="AB891" s="8"/>
      <c r="AC891" s="8">
        <f t="shared" si="109"/>
        <v>0</v>
      </c>
      <c r="AD891" s="8"/>
      <c r="AE891" s="8"/>
      <c r="AF891" s="8"/>
      <c r="AG891" s="8"/>
      <c r="AH891" s="8"/>
      <c r="AI891" s="8"/>
      <c r="AJ891" s="8"/>
      <c r="AK891" s="8"/>
      <c r="AL891" s="8"/>
      <c r="AM891" s="8">
        <v>158958841</v>
      </c>
      <c r="AN891" s="8">
        <f>SUBTOTAL(9,AC891:AM891)</f>
        <v>158958841</v>
      </c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>
        <v>303495415</v>
      </c>
      <c r="AZ891" s="8"/>
      <c r="BA891" s="8">
        <f>VLOOKUP(B891,[1]Hoja3!J$3:K$674,2,0)</f>
        <v>201416403</v>
      </c>
      <c r="BB891" s="8"/>
      <c r="BC891" s="8">
        <f t="shared" si="110"/>
        <v>663870659</v>
      </c>
      <c r="BD891" s="4">
        <v>303495415</v>
      </c>
      <c r="BE891" s="4">
        <f t="shared" si="111"/>
        <v>360375244</v>
      </c>
      <c r="BF891" s="30">
        <f t="shared" si="112"/>
        <v>663870659</v>
      </c>
      <c r="BG891" s="18">
        <f t="shared" si="113"/>
        <v>0</v>
      </c>
      <c r="BH891" s="23"/>
      <c r="BI891" s="23"/>
      <c r="BJ891" s="23"/>
    </row>
    <row r="892" spans="1:66" ht="15" customHeight="1" x14ac:dyDescent="0.2">
      <c r="A892" s="1">
        <v>8000991432</v>
      </c>
      <c r="B892" s="1">
        <v>800099143</v>
      </c>
      <c r="C892" s="15">
        <v>219352693</v>
      </c>
      <c r="D892" s="16" t="s">
        <v>742</v>
      </c>
      <c r="E892" s="41" t="s">
        <v>1740</v>
      </c>
      <c r="F892" s="28"/>
      <c r="G892" s="17"/>
      <c r="H892" s="3"/>
      <c r="I892" s="2"/>
      <c r="J892" s="29"/>
      <c r="K892" s="3"/>
      <c r="L892" s="17"/>
      <c r="M892" s="34"/>
      <c r="N892" s="3"/>
      <c r="O892" s="17"/>
      <c r="P892" s="3"/>
      <c r="Q892" s="2"/>
      <c r="R892" s="3"/>
      <c r="S892" s="3"/>
      <c r="T892" s="17"/>
      <c r="U892" s="8">
        <f t="shared" si="108"/>
        <v>0</v>
      </c>
      <c r="V892" s="8"/>
      <c r="W892" s="8"/>
      <c r="X892" s="8"/>
      <c r="Y892" s="8"/>
      <c r="Z892" s="8"/>
      <c r="AA892" s="8"/>
      <c r="AB892" s="8"/>
      <c r="AC892" s="8">
        <f t="shared" si="109"/>
        <v>0</v>
      </c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>
        <v>106395830</v>
      </c>
      <c r="AZ892" s="8"/>
      <c r="BA892" s="8">
        <f>VLOOKUP(B892,[1]Hoja3!J$3:K$674,2,0)</f>
        <v>189509068</v>
      </c>
      <c r="BB892" s="8"/>
      <c r="BC892" s="8">
        <f t="shared" si="110"/>
        <v>295904898</v>
      </c>
      <c r="BD892" s="4">
        <v>106395830</v>
      </c>
      <c r="BE892" s="4">
        <f t="shared" si="111"/>
        <v>189509068</v>
      </c>
      <c r="BF892" s="30">
        <f t="shared" si="112"/>
        <v>295904898</v>
      </c>
      <c r="BG892" s="18">
        <f t="shared" si="113"/>
        <v>0</v>
      </c>
      <c r="BH892" s="23"/>
      <c r="BI892" s="14"/>
      <c r="BJ892" s="14"/>
      <c r="BK892" s="14"/>
      <c r="BL892" s="14"/>
      <c r="BM892" s="14"/>
      <c r="BN892" s="14"/>
    </row>
    <row r="893" spans="1:66" ht="15" customHeight="1" x14ac:dyDescent="0.2">
      <c r="A893" s="1">
        <v>8001487203</v>
      </c>
      <c r="B893" s="1">
        <v>800148720</v>
      </c>
      <c r="C893" s="15">
        <v>219452694</v>
      </c>
      <c r="D893" s="16" t="s">
        <v>743</v>
      </c>
      <c r="E893" s="41" t="s">
        <v>1764</v>
      </c>
      <c r="F893" s="28"/>
      <c r="G893" s="2"/>
      <c r="H893" s="3"/>
      <c r="I893" s="2"/>
      <c r="J893" s="29"/>
      <c r="K893" s="3"/>
      <c r="L893" s="2"/>
      <c r="M893" s="8"/>
      <c r="N893" s="3"/>
      <c r="O893" s="2"/>
      <c r="P893" s="3"/>
      <c r="Q893" s="2"/>
      <c r="R893" s="3"/>
      <c r="S893" s="3"/>
      <c r="T893" s="2"/>
      <c r="U893" s="8">
        <f t="shared" si="108"/>
        <v>0</v>
      </c>
      <c r="V893" s="8"/>
      <c r="W893" s="8"/>
      <c r="X893" s="8"/>
      <c r="Y893" s="8"/>
      <c r="Z893" s="8"/>
      <c r="AA893" s="8"/>
      <c r="AB893" s="8"/>
      <c r="AC893" s="8">
        <f t="shared" si="109"/>
        <v>0</v>
      </c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>
        <f>VLOOKUP(B893,[1]Hoja3!J$3:K$674,2,0)</f>
        <v>83502478</v>
      </c>
      <c r="BB893" s="8"/>
      <c r="BC893" s="8">
        <f t="shared" si="110"/>
        <v>83502478</v>
      </c>
      <c r="BD893" s="4"/>
      <c r="BE893" s="4">
        <f t="shared" si="111"/>
        <v>83502478</v>
      </c>
      <c r="BF893" s="30">
        <f t="shared" si="112"/>
        <v>83502478</v>
      </c>
      <c r="BG893" s="18">
        <f t="shared" si="113"/>
        <v>0</v>
      </c>
      <c r="BH893" s="23"/>
      <c r="BI893" s="23"/>
      <c r="BJ893" s="23"/>
    </row>
    <row r="894" spans="1:66" ht="15" customHeight="1" x14ac:dyDescent="0.2">
      <c r="A894" s="1">
        <v>8909838145</v>
      </c>
      <c r="B894" s="1">
        <v>890983814</v>
      </c>
      <c r="C894" s="15">
        <v>216505665</v>
      </c>
      <c r="D894" s="16" t="s">
        <v>133</v>
      </c>
      <c r="E894" s="41" t="s">
        <v>1163</v>
      </c>
      <c r="F894" s="28"/>
      <c r="G894" s="2"/>
      <c r="H894" s="3"/>
      <c r="I894" s="2"/>
      <c r="J894" s="29"/>
      <c r="K894" s="3"/>
      <c r="L894" s="2"/>
      <c r="M894" s="8"/>
      <c r="N894" s="3"/>
      <c r="O894" s="2"/>
      <c r="P894" s="3"/>
      <c r="Q894" s="2"/>
      <c r="R894" s="3"/>
      <c r="S894" s="3"/>
      <c r="T894" s="2"/>
      <c r="U894" s="8">
        <f t="shared" si="108"/>
        <v>0</v>
      </c>
      <c r="V894" s="8"/>
      <c r="W894" s="8"/>
      <c r="X894" s="8"/>
      <c r="Y894" s="8"/>
      <c r="Z894" s="8"/>
      <c r="AA894" s="8"/>
      <c r="AB894" s="8"/>
      <c r="AC894" s="8">
        <f t="shared" si="109"/>
        <v>0</v>
      </c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>
        <v>598854760</v>
      </c>
      <c r="AZ894" s="8"/>
      <c r="BA894" s="8">
        <f>VLOOKUP(B894,[1]Hoja3!J$3:K$674,2,0)</f>
        <v>570585770</v>
      </c>
      <c r="BB894" s="8"/>
      <c r="BC894" s="8">
        <f t="shared" si="110"/>
        <v>1169440530</v>
      </c>
      <c r="BD894" s="4">
        <v>598854760</v>
      </c>
      <c r="BE894" s="4">
        <f t="shared" si="111"/>
        <v>570585770</v>
      </c>
      <c r="BF894" s="30">
        <f t="shared" si="112"/>
        <v>1169440530</v>
      </c>
      <c r="BG894" s="18">
        <f t="shared" si="113"/>
        <v>0</v>
      </c>
      <c r="BH894" s="23"/>
      <c r="BI894" s="23"/>
      <c r="BJ894" s="23"/>
    </row>
    <row r="895" spans="1:66" ht="15" customHeight="1" x14ac:dyDescent="0.2">
      <c r="A895" s="1">
        <v>8909839222</v>
      </c>
      <c r="B895" s="1">
        <v>890983922</v>
      </c>
      <c r="C895" s="15">
        <v>216405664</v>
      </c>
      <c r="D895" s="16" t="s">
        <v>132</v>
      </c>
      <c r="E895" s="41" t="s">
        <v>1162</v>
      </c>
      <c r="F895" s="28"/>
      <c r="G895" s="2"/>
      <c r="H895" s="3"/>
      <c r="I895" s="2"/>
      <c r="J895" s="29"/>
      <c r="K895" s="3"/>
      <c r="L895" s="2"/>
      <c r="M895" s="8"/>
      <c r="N895" s="3"/>
      <c r="O895" s="2"/>
      <c r="P895" s="3"/>
      <c r="Q895" s="2"/>
      <c r="R895" s="3"/>
      <c r="S895" s="3"/>
      <c r="T895" s="2"/>
      <c r="U895" s="8">
        <f t="shared" si="108"/>
        <v>0</v>
      </c>
      <c r="V895" s="8"/>
      <c r="W895" s="8"/>
      <c r="X895" s="8"/>
      <c r="Y895" s="8"/>
      <c r="Z895" s="8"/>
      <c r="AA895" s="8"/>
      <c r="AB895" s="8"/>
      <c r="AC895" s="8">
        <f t="shared" si="109"/>
        <v>0</v>
      </c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>
        <v>145213065</v>
      </c>
      <c r="AZ895" s="8"/>
      <c r="BA895" s="8">
        <f>VLOOKUP(B895,[1]Hoja3!J$3:K$674,2,0)</f>
        <v>388739333</v>
      </c>
      <c r="BB895" s="8"/>
      <c r="BC895" s="8">
        <f t="shared" si="110"/>
        <v>533952398</v>
      </c>
      <c r="BD895" s="4">
        <v>145213065</v>
      </c>
      <c r="BE895" s="4">
        <f t="shared" si="111"/>
        <v>388739333</v>
      </c>
      <c r="BF895" s="30">
        <f t="shared" si="112"/>
        <v>533952398</v>
      </c>
      <c r="BG895" s="18">
        <f t="shared" si="113"/>
        <v>0</v>
      </c>
      <c r="BH895" s="23"/>
      <c r="BI895" s="23"/>
      <c r="BJ895" s="23"/>
    </row>
    <row r="896" spans="1:66" ht="15" customHeight="1" x14ac:dyDescent="0.2">
      <c r="A896" s="1">
        <v>8922800630</v>
      </c>
      <c r="B896" s="1">
        <v>892280063</v>
      </c>
      <c r="C896" s="15">
        <v>211770717</v>
      </c>
      <c r="D896" s="16" t="s">
        <v>2142</v>
      </c>
      <c r="E896" s="41" t="s">
        <v>1924</v>
      </c>
      <c r="F896" s="28"/>
      <c r="G896" s="2"/>
      <c r="H896" s="3"/>
      <c r="I896" s="2"/>
      <c r="J896" s="29"/>
      <c r="K896" s="3"/>
      <c r="L896" s="2"/>
      <c r="M896" s="8"/>
      <c r="N896" s="3"/>
      <c r="O896" s="2"/>
      <c r="P896" s="3"/>
      <c r="Q896" s="2"/>
      <c r="R896" s="3"/>
      <c r="S896" s="3"/>
      <c r="T896" s="2"/>
      <c r="U896" s="8">
        <f t="shared" si="108"/>
        <v>0</v>
      </c>
      <c r="V896" s="8"/>
      <c r="W896" s="8"/>
      <c r="X896" s="8"/>
      <c r="Y896" s="8"/>
      <c r="Z896" s="8"/>
      <c r="AA896" s="8"/>
      <c r="AB896" s="8"/>
      <c r="AC896" s="8">
        <f t="shared" si="109"/>
        <v>0</v>
      </c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>
        <v>179542185</v>
      </c>
      <c r="AZ896" s="8"/>
      <c r="BA896" s="8">
        <f>VLOOKUP(B896,[1]Hoja3!J$3:K$674,2,0)</f>
        <v>310947665</v>
      </c>
      <c r="BB896" s="8"/>
      <c r="BC896" s="8">
        <f t="shared" si="110"/>
        <v>490489850</v>
      </c>
      <c r="BD896" s="4">
        <v>179542185</v>
      </c>
      <c r="BE896" s="4">
        <f t="shared" si="111"/>
        <v>310947665</v>
      </c>
      <c r="BF896" s="30">
        <f t="shared" si="112"/>
        <v>490489850</v>
      </c>
      <c r="BG896" s="18">
        <f t="shared" si="113"/>
        <v>0</v>
      </c>
      <c r="BH896" s="23"/>
      <c r="BI896" s="23"/>
      <c r="BJ896" s="23"/>
    </row>
    <row r="897" spans="1:66" ht="15" customHeight="1" x14ac:dyDescent="0.2">
      <c r="A897" s="1">
        <v>8001005263</v>
      </c>
      <c r="B897" s="1">
        <v>800100526</v>
      </c>
      <c r="C897" s="15">
        <v>217076670</v>
      </c>
      <c r="D897" s="16" t="s">
        <v>938</v>
      </c>
      <c r="E897" s="41" t="s">
        <v>1999</v>
      </c>
      <c r="F897" s="28"/>
      <c r="G897" s="17"/>
      <c r="H897" s="3"/>
      <c r="I897" s="2"/>
      <c r="J897" s="29"/>
      <c r="K897" s="3"/>
      <c r="L897" s="17"/>
      <c r="M897" s="34"/>
      <c r="N897" s="3"/>
      <c r="O897" s="17"/>
      <c r="P897" s="3"/>
      <c r="Q897" s="2"/>
      <c r="R897" s="3"/>
      <c r="S897" s="3"/>
      <c r="T897" s="17"/>
      <c r="U897" s="8">
        <f t="shared" si="108"/>
        <v>0</v>
      </c>
      <c r="V897" s="8"/>
      <c r="W897" s="8"/>
      <c r="X897" s="8"/>
      <c r="Y897" s="8"/>
      <c r="Z897" s="8"/>
      <c r="AA897" s="8"/>
      <c r="AB897" s="8"/>
      <c r="AC897" s="8">
        <f t="shared" si="109"/>
        <v>0</v>
      </c>
      <c r="AD897" s="8"/>
      <c r="AE897" s="8"/>
      <c r="AF897" s="8"/>
      <c r="AG897" s="8"/>
      <c r="AH897" s="8"/>
      <c r="AI897" s="8"/>
      <c r="AJ897" s="8"/>
      <c r="AK897" s="8"/>
      <c r="AL897" s="8"/>
      <c r="AM897" s="8">
        <v>188383035</v>
      </c>
      <c r="AN897" s="8">
        <f>SUBTOTAL(9,AC897:AM897)</f>
        <v>188383035</v>
      </c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>
        <v>105744235</v>
      </c>
      <c r="AZ897" s="8"/>
      <c r="BA897" s="8"/>
      <c r="BB897" s="8"/>
      <c r="BC897" s="8">
        <f t="shared" si="110"/>
        <v>294127270</v>
      </c>
      <c r="BD897" s="4">
        <v>105744235</v>
      </c>
      <c r="BE897" s="4">
        <f t="shared" si="111"/>
        <v>188383035</v>
      </c>
      <c r="BF897" s="30">
        <f t="shared" si="112"/>
        <v>294127270</v>
      </c>
      <c r="BG897" s="18">
        <f t="shared" si="113"/>
        <v>0</v>
      </c>
      <c r="BH897" s="23"/>
      <c r="BI897" s="14"/>
      <c r="BJ897" s="14"/>
      <c r="BK897" s="14"/>
      <c r="BL897" s="14"/>
      <c r="BM897" s="14"/>
      <c r="BN897" s="14"/>
    </row>
    <row r="898" spans="1:66" ht="15" customHeight="1" x14ac:dyDescent="0.2">
      <c r="A898" s="1">
        <v>8000968056</v>
      </c>
      <c r="B898" s="1">
        <v>800096805</v>
      </c>
      <c r="C898" s="15">
        <v>218623686</v>
      </c>
      <c r="D898" s="16" t="s">
        <v>457</v>
      </c>
      <c r="E898" s="41" t="s">
        <v>2089</v>
      </c>
      <c r="F898" s="28"/>
      <c r="G898" s="2"/>
      <c r="H898" s="3"/>
      <c r="I898" s="2"/>
      <c r="J898" s="29"/>
      <c r="K898" s="3"/>
      <c r="L898" s="2"/>
      <c r="M898" s="8"/>
      <c r="N898" s="3"/>
      <c r="O898" s="2"/>
      <c r="P898" s="3"/>
      <c r="Q898" s="2"/>
      <c r="R898" s="3"/>
      <c r="S898" s="3"/>
      <c r="T898" s="2"/>
      <c r="U898" s="8">
        <f t="shared" si="108"/>
        <v>0</v>
      </c>
      <c r="V898" s="8"/>
      <c r="W898" s="8"/>
      <c r="X898" s="8"/>
      <c r="Y898" s="8"/>
      <c r="Z898" s="8"/>
      <c r="AA898" s="8"/>
      <c r="AB898" s="8"/>
      <c r="AC898" s="8">
        <f t="shared" si="109"/>
        <v>0</v>
      </c>
      <c r="AD898" s="8"/>
      <c r="AE898" s="8"/>
      <c r="AF898" s="8"/>
      <c r="AG898" s="8"/>
      <c r="AH898" s="8"/>
      <c r="AI898" s="8"/>
      <c r="AJ898" s="8"/>
      <c r="AK898" s="8"/>
      <c r="AL898" s="8"/>
      <c r="AM898" s="8">
        <v>557138457</v>
      </c>
      <c r="AN898" s="8">
        <f>SUBTOTAL(9,AC898:AM898)</f>
        <v>557138457</v>
      </c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>
        <f t="shared" si="110"/>
        <v>557138457</v>
      </c>
      <c r="BD898" s="4"/>
      <c r="BE898" s="4">
        <f t="shared" si="111"/>
        <v>557138457</v>
      </c>
      <c r="BF898" s="30">
        <f t="shared" si="112"/>
        <v>557138457</v>
      </c>
      <c r="BG898" s="18">
        <f t="shared" si="113"/>
        <v>0</v>
      </c>
      <c r="BH898" s="23"/>
      <c r="BI898" s="23"/>
      <c r="BJ898" s="23"/>
    </row>
    <row r="899" spans="1:66" ht="15" customHeight="1" x14ac:dyDescent="0.2">
      <c r="A899" s="1">
        <v>8909821231</v>
      </c>
      <c r="B899" s="1">
        <v>890982123</v>
      </c>
      <c r="C899" s="15">
        <v>216705667</v>
      </c>
      <c r="D899" s="16" t="s">
        <v>134</v>
      </c>
      <c r="E899" s="41" t="s">
        <v>1117</v>
      </c>
      <c r="F899" s="28"/>
      <c r="G899" s="2"/>
      <c r="H899" s="3"/>
      <c r="I899" s="2"/>
      <c r="J899" s="29"/>
      <c r="K899" s="3"/>
      <c r="L899" s="2"/>
      <c r="M899" s="8"/>
      <c r="N899" s="3"/>
      <c r="O899" s="2"/>
      <c r="P899" s="3"/>
      <c r="Q899" s="2"/>
      <c r="R899" s="3"/>
      <c r="S899" s="3"/>
      <c r="T899" s="2"/>
      <c r="U899" s="8">
        <f t="shared" ref="U899:U962" si="117">SUM(M899:T899)</f>
        <v>0</v>
      </c>
      <c r="V899" s="8"/>
      <c r="W899" s="8"/>
      <c r="X899" s="8"/>
      <c r="Y899" s="8"/>
      <c r="Z899" s="8"/>
      <c r="AA899" s="8"/>
      <c r="AB899" s="8"/>
      <c r="AC899" s="8">
        <f t="shared" si="109"/>
        <v>0</v>
      </c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>
        <v>107169505</v>
      </c>
      <c r="AZ899" s="8"/>
      <c r="BA899" s="8">
        <f>VLOOKUP(B899,[1]Hoja3!J$3:K$674,2,0)</f>
        <v>157453138</v>
      </c>
      <c r="BB899" s="8"/>
      <c r="BC899" s="8">
        <f t="shared" si="110"/>
        <v>264622643</v>
      </c>
      <c r="BD899" s="4">
        <v>107169505</v>
      </c>
      <c r="BE899" s="4">
        <f t="shared" si="111"/>
        <v>157453138</v>
      </c>
      <c r="BF899" s="30">
        <f t="shared" si="112"/>
        <v>264622643</v>
      </c>
      <c r="BG899" s="18">
        <f t="shared" si="113"/>
        <v>0</v>
      </c>
      <c r="BH899" s="23"/>
      <c r="BI899" s="23"/>
      <c r="BJ899" s="23"/>
    </row>
    <row r="900" spans="1:66" ht="15" customHeight="1" x14ac:dyDescent="0.2">
      <c r="A900" s="1">
        <v>8909808507</v>
      </c>
      <c r="B900" s="1">
        <v>890980850</v>
      </c>
      <c r="C900" s="15">
        <v>217005670</v>
      </c>
      <c r="D900" s="16" t="s">
        <v>135</v>
      </c>
      <c r="E900" s="41" t="s">
        <v>1164</v>
      </c>
      <c r="F900" s="28"/>
      <c r="G900" s="2"/>
      <c r="H900" s="3"/>
      <c r="I900" s="2"/>
      <c r="J900" s="29"/>
      <c r="K900" s="3"/>
      <c r="L900" s="2"/>
      <c r="M900" s="8"/>
      <c r="N900" s="3"/>
      <c r="O900" s="2"/>
      <c r="P900" s="3"/>
      <c r="Q900" s="2"/>
      <c r="R900" s="3"/>
      <c r="S900" s="3"/>
      <c r="T900" s="2"/>
      <c r="U900" s="8">
        <f t="shared" si="117"/>
        <v>0</v>
      </c>
      <c r="V900" s="8"/>
      <c r="W900" s="8"/>
      <c r="X900" s="8"/>
      <c r="Y900" s="8"/>
      <c r="Z900" s="8"/>
      <c r="AA900" s="8"/>
      <c r="AB900" s="8"/>
      <c r="AC900" s="8">
        <f t="shared" ref="AC900:AC963" si="118">SUM(U900:AB900)</f>
        <v>0</v>
      </c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>
        <f>VLOOKUP(B900,[1]Hoja3!J$3:K$674,2,0)</f>
        <v>297494773</v>
      </c>
      <c r="BB900" s="8"/>
      <c r="BC900" s="8">
        <f t="shared" ref="BC900:BC963" si="119">SUM(AN900:BA900)-BB900</f>
        <v>297494773</v>
      </c>
      <c r="BD900" s="4"/>
      <c r="BE900" s="4">
        <f t="shared" ref="BE900:BE963" si="120">+AM900+BA900-BB900</f>
        <v>297494773</v>
      </c>
      <c r="BF900" s="30">
        <f t="shared" ref="BF900:BF963" si="121">+BD900+BE900</f>
        <v>297494773</v>
      </c>
      <c r="BG900" s="18">
        <f t="shared" ref="BG900:BG963" si="122">+BC900-BF900</f>
        <v>0</v>
      </c>
      <c r="BH900" s="23"/>
      <c r="BI900" s="23"/>
      <c r="BJ900" s="23"/>
    </row>
    <row r="901" spans="1:66" ht="15" customHeight="1" x14ac:dyDescent="0.2">
      <c r="A901" s="1">
        <v>8915024824</v>
      </c>
      <c r="B901" s="1">
        <v>891502482</v>
      </c>
      <c r="C901" s="15">
        <v>219319693</v>
      </c>
      <c r="D901" s="16" t="s">
        <v>402</v>
      </c>
      <c r="E901" s="41" t="s">
        <v>1430</v>
      </c>
      <c r="F901" s="28"/>
      <c r="G901" s="2"/>
      <c r="H901" s="3"/>
      <c r="I901" s="2"/>
      <c r="J901" s="29"/>
      <c r="K901" s="3"/>
      <c r="L901" s="2"/>
      <c r="M901" s="8"/>
      <c r="N901" s="3"/>
      <c r="O901" s="2"/>
      <c r="P901" s="3"/>
      <c r="Q901" s="2"/>
      <c r="R901" s="3"/>
      <c r="S901" s="3"/>
      <c r="T901" s="2"/>
      <c r="U901" s="8">
        <f t="shared" si="117"/>
        <v>0</v>
      </c>
      <c r="V901" s="8"/>
      <c r="W901" s="8"/>
      <c r="X901" s="8"/>
      <c r="Y901" s="8"/>
      <c r="Z901" s="8"/>
      <c r="AA901" s="8"/>
      <c r="AB901" s="8"/>
      <c r="AC901" s="8">
        <f t="shared" si="118"/>
        <v>0</v>
      </c>
      <c r="AD901" s="8"/>
      <c r="AE901" s="8"/>
      <c r="AF901" s="8"/>
      <c r="AG901" s="8"/>
      <c r="AH901" s="8"/>
      <c r="AI901" s="8"/>
      <c r="AJ901" s="8"/>
      <c r="AK901" s="8"/>
      <c r="AL901" s="8"/>
      <c r="AM901" s="8">
        <v>14696885</v>
      </c>
      <c r="AN901" s="8">
        <f>SUBTOTAL(9,AC901:AM901)</f>
        <v>14696885</v>
      </c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>
        <f>VLOOKUP(B901,[1]Hoja3!J$3:K$674,2,0)</f>
        <v>95544940</v>
      </c>
      <c r="BB901" s="8"/>
      <c r="BC901" s="8">
        <f t="shared" si="119"/>
        <v>110241825</v>
      </c>
      <c r="BD901" s="4"/>
      <c r="BE901" s="4">
        <f t="shared" si="120"/>
        <v>110241825</v>
      </c>
      <c r="BF901" s="30">
        <f t="shared" si="121"/>
        <v>110241825</v>
      </c>
      <c r="BG901" s="18">
        <f t="shared" si="122"/>
        <v>0</v>
      </c>
      <c r="BH901" s="23"/>
      <c r="BI901" s="23"/>
      <c r="BJ901" s="23"/>
    </row>
    <row r="902" spans="1:66" ht="15" customHeight="1" x14ac:dyDescent="0.2">
      <c r="A902" s="1">
        <v>8917800546</v>
      </c>
      <c r="B902" s="1">
        <v>891780054</v>
      </c>
      <c r="C902" s="15">
        <v>219247692</v>
      </c>
      <c r="D902" s="16" t="s">
        <v>658</v>
      </c>
      <c r="E902" s="41" t="s">
        <v>1679</v>
      </c>
      <c r="F902" s="28"/>
      <c r="G902" s="2"/>
      <c r="H902" s="3"/>
      <c r="I902" s="2"/>
      <c r="J902" s="29"/>
      <c r="K902" s="3"/>
      <c r="L902" s="2"/>
      <c r="M902" s="8"/>
      <c r="N902" s="3"/>
      <c r="O902" s="2"/>
      <c r="P902" s="3"/>
      <c r="Q902" s="2"/>
      <c r="R902" s="3"/>
      <c r="S902" s="3"/>
      <c r="T902" s="2"/>
      <c r="U902" s="8">
        <f t="shared" si="117"/>
        <v>0</v>
      </c>
      <c r="V902" s="8"/>
      <c r="W902" s="8"/>
      <c r="X902" s="8"/>
      <c r="Y902" s="8"/>
      <c r="Z902" s="8"/>
      <c r="AA902" s="8"/>
      <c r="AB902" s="8"/>
      <c r="AC902" s="8">
        <f t="shared" si="118"/>
        <v>0</v>
      </c>
      <c r="AD902" s="8"/>
      <c r="AE902" s="8"/>
      <c r="AF902" s="8"/>
      <c r="AG902" s="8"/>
      <c r="AH902" s="8"/>
      <c r="AI902" s="8"/>
      <c r="AJ902" s="8"/>
      <c r="AK902" s="8"/>
      <c r="AL902" s="8"/>
      <c r="AM902" s="8">
        <v>468916252</v>
      </c>
      <c r="AN902" s="8">
        <f>SUBTOTAL(9,AC902:AM902)</f>
        <v>468916252</v>
      </c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>
        <f>VLOOKUP(B902,[1]Hoja3!J$3:K$674,2,0)</f>
        <v>59176186</v>
      </c>
      <c r="BB902" s="8"/>
      <c r="BC902" s="8">
        <f t="shared" si="119"/>
        <v>528092438</v>
      </c>
      <c r="BD902" s="4"/>
      <c r="BE902" s="4">
        <f t="shared" si="120"/>
        <v>528092438</v>
      </c>
      <c r="BF902" s="30">
        <f t="shared" si="121"/>
        <v>528092438</v>
      </c>
      <c r="BG902" s="18">
        <f t="shared" si="122"/>
        <v>0</v>
      </c>
      <c r="BH902" s="23"/>
      <c r="BI902" s="23"/>
      <c r="BJ902" s="23"/>
    </row>
    <row r="903" spans="1:66" ht="15" customHeight="1" x14ac:dyDescent="0.2">
      <c r="A903" s="1">
        <v>8000957852</v>
      </c>
      <c r="B903" s="1">
        <v>800095785</v>
      </c>
      <c r="C903" s="15">
        <v>215318753</v>
      </c>
      <c r="D903" s="16" t="s">
        <v>2199</v>
      </c>
      <c r="E903" s="41" t="s">
        <v>1401</v>
      </c>
      <c r="F903" s="28"/>
      <c r="G903" s="2"/>
      <c r="H903" s="3"/>
      <c r="I903" s="2"/>
      <c r="J903" s="29"/>
      <c r="K903" s="3"/>
      <c r="L903" s="2"/>
      <c r="M903" s="8"/>
      <c r="N903" s="3"/>
      <c r="O903" s="2"/>
      <c r="P903" s="3"/>
      <c r="Q903" s="2"/>
      <c r="R903" s="3"/>
      <c r="S903" s="3"/>
      <c r="T903" s="2"/>
      <c r="U903" s="8">
        <f t="shared" si="117"/>
        <v>0</v>
      </c>
      <c r="V903" s="8"/>
      <c r="W903" s="8"/>
      <c r="X903" s="8"/>
      <c r="Y903" s="8"/>
      <c r="Z903" s="8"/>
      <c r="AA903" s="8"/>
      <c r="AB903" s="8"/>
      <c r="AC903" s="8">
        <f t="shared" si="118"/>
        <v>0</v>
      </c>
      <c r="AD903" s="8"/>
      <c r="AE903" s="8"/>
      <c r="AF903" s="8"/>
      <c r="AG903" s="8"/>
      <c r="AH903" s="8"/>
      <c r="AI903" s="8"/>
      <c r="AJ903" s="8"/>
      <c r="AK903" s="8"/>
      <c r="AL903" s="8"/>
      <c r="AM903" s="8">
        <v>475092710</v>
      </c>
      <c r="AN903" s="8">
        <f>SUBTOTAL(9,AC903:AM903)</f>
        <v>475092710</v>
      </c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>
        <v>534714475</v>
      </c>
      <c r="AZ903" s="8"/>
      <c r="BA903" s="8">
        <f>VLOOKUP(B903,[1]Hoja3!J$3:K$674,2,0)</f>
        <v>534720422</v>
      </c>
      <c r="BB903" s="8">
        <f>VLOOKUP(B903,'[2]anuladas en mayo gratuidad}'!K$2:L$55,2,0)</f>
        <v>9281941</v>
      </c>
      <c r="BC903" s="8">
        <f t="shared" si="119"/>
        <v>1535245666</v>
      </c>
      <c r="BD903" s="4">
        <v>534714475</v>
      </c>
      <c r="BE903" s="4">
        <f t="shared" si="120"/>
        <v>1000531191</v>
      </c>
      <c r="BF903" s="30">
        <f t="shared" si="121"/>
        <v>1535245666</v>
      </c>
      <c r="BG903" s="18">
        <f t="shared" si="122"/>
        <v>0</v>
      </c>
      <c r="BH903" s="23"/>
      <c r="BI903" s="23"/>
      <c r="BJ903" s="23"/>
    </row>
    <row r="904" spans="1:66" ht="15" customHeight="1" x14ac:dyDescent="0.2">
      <c r="A904" s="1">
        <v>8000998296</v>
      </c>
      <c r="B904" s="1">
        <v>800099829</v>
      </c>
      <c r="C904" s="15">
        <v>218968689</v>
      </c>
      <c r="D904" s="16" t="s">
        <v>2139</v>
      </c>
      <c r="E904" s="41" t="s">
        <v>1891</v>
      </c>
      <c r="F904" s="28"/>
      <c r="G904" s="2"/>
      <c r="H904" s="3"/>
      <c r="I904" s="2"/>
      <c r="J904" s="29"/>
      <c r="K904" s="3"/>
      <c r="L904" s="2"/>
      <c r="M904" s="8"/>
      <c r="N904" s="3"/>
      <c r="O904" s="2"/>
      <c r="P904" s="3"/>
      <c r="Q904" s="2"/>
      <c r="R904" s="3"/>
      <c r="S904" s="3"/>
      <c r="T904" s="2"/>
      <c r="U904" s="8">
        <f t="shared" si="117"/>
        <v>0</v>
      </c>
      <c r="V904" s="8"/>
      <c r="W904" s="8"/>
      <c r="X904" s="8"/>
      <c r="Y904" s="8"/>
      <c r="Z904" s="8"/>
      <c r="AA904" s="8"/>
      <c r="AB904" s="8"/>
      <c r="AC904" s="8">
        <f t="shared" si="118"/>
        <v>0</v>
      </c>
      <c r="AD904" s="8"/>
      <c r="AE904" s="8"/>
      <c r="AF904" s="8"/>
      <c r="AG904" s="8"/>
      <c r="AH904" s="8"/>
      <c r="AI904" s="8"/>
      <c r="AJ904" s="8"/>
      <c r="AK904" s="8"/>
      <c r="AL904" s="8"/>
      <c r="AM904" s="8">
        <v>248533140</v>
      </c>
      <c r="AN904" s="8">
        <f>SUBTOTAL(9,AC904:AM904)</f>
        <v>248533140</v>
      </c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>
        <v>217776615</v>
      </c>
      <c r="AZ904" s="8"/>
      <c r="BA904" s="8">
        <f>VLOOKUP(B904,[1]Hoja3!J$3:K$674,2,0)</f>
        <v>72045508</v>
      </c>
      <c r="BB904" s="8"/>
      <c r="BC904" s="8">
        <f t="shared" si="119"/>
        <v>538355263</v>
      </c>
      <c r="BD904" s="4">
        <v>217776615</v>
      </c>
      <c r="BE904" s="4">
        <f t="shared" si="120"/>
        <v>320578648</v>
      </c>
      <c r="BF904" s="30">
        <f t="shared" si="121"/>
        <v>538355263</v>
      </c>
      <c r="BG904" s="18">
        <f t="shared" si="122"/>
        <v>0</v>
      </c>
      <c r="BH904" s="23"/>
      <c r="BI904" s="23"/>
      <c r="BJ904" s="23"/>
    </row>
    <row r="905" spans="1:66" ht="15" customHeight="1" x14ac:dyDescent="0.2">
      <c r="A905" s="1">
        <v>8909825067</v>
      </c>
      <c r="B905" s="1">
        <v>890982506</v>
      </c>
      <c r="C905" s="15">
        <v>217405674</v>
      </c>
      <c r="D905" s="16" t="s">
        <v>136</v>
      </c>
      <c r="E905" s="41" t="s">
        <v>1165</v>
      </c>
      <c r="F905" s="28"/>
      <c r="G905" s="2"/>
      <c r="H905" s="3"/>
      <c r="I905" s="2"/>
      <c r="J905" s="29"/>
      <c r="K905" s="3"/>
      <c r="L905" s="2"/>
      <c r="M905" s="8"/>
      <c r="N905" s="3"/>
      <c r="O905" s="2"/>
      <c r="P905" s="3"/>
      <c r="Q905" s="2"/>
      <c r="R905" s="3"/>
      <c r="S905" s="3"/>
      <c r="T905" s="2"/>
      <c r="U905" s="8">
        <f t="shared" si="117"/>
        <v>0</v>
      </c>
      <c r="V905" s="8"/>
      <c r="W905" s="8"/>
      <c r="X905" s="8"/>
      <c r="Y905" s="8"/>
      <c r="Z905" s="8"/>
      <c r="AA905" s="8"/>
      <c r="AB905" s="8"/>
      <c r="AC905" s="8">
        <f t="shared" si="118"/>
        <v>0</v>
      </c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>
        <v>114432240</v>
      </c>
      <c r="AZ905" s="8"/>
      <c r="BA905" s="8">
        <f>VLOOKUP(B905,[1]Hoja3!J$3:K$674,2,0)</f>
        <v>250267807</v>
      </c>
      <c r="BB905" s="8"/>
      <c r="BC905" s="8">
        <f t="shared" si="119"/>
        <v>364700047</v>
      </c>
      <c r="BD905" s="4">
        <v>114432240</v>
      </c>
      <c r="BE905" s="4">
        <f t="shared" si="120"/>
        <v>250267807</v>
      </c>
      <c r="BF905" s="30">
        <f t="shared" si="121"/>
        <v>364700047</v>
      </c>
      <c r="BG905" s="18">
        <f t="shared" si="122"/>
        <v>0</v>
      </c>
      <c r="BH905" s="23"/>
      <c r="BI905" s="23"/>
      <c r="BJ905" s="23"/>
    </row>
    <row r="906" spans="1:66" ht="15" customHeight="1" x14ac:dyDescent="0.2">
      <c r="A906" s="1">
        <v>8917800553</v>
      </c>
      <c r="B906" s="1">
        <v>891780055</v>
      </c>
      <c r="C906" s="15">
        <v>210347703</v>
      </c>
      <c r="D906" s="16" t="s">
        <v>659</v>
      </c>
      <c r="E906" s="41" t="s">
        <v>1680</v>
      </c>
      <c r="F906" s="28"/>
      <c r="G906" s="2"/>
      <c r="H906" s="3"/>
      <c r="I906" s="2"/>
      <c r="J906" s="29"/>
      <c r="K906" s="3"/>
      <c r="L906" s="2"/>
      <c r="M906" s="8"/>
      <c r="N906" s="3"/>
      <c r="O906" s="2"/>
      <c r="P906" s="3"/>
      <c r="Q906" s="2"/>
      <c r="R906" s="3"/>
      <c r="S906" s="3"/>
      <c r="T906" s="2"/>
      <c r="U906" s="8">
        <f t="shared" si="117"/>
        <v>0</v>
      </c>
      <c r="V906" s="8"/>
      <c r="W906" s="8"/>
      <c r="X906" s="8"/>
      <c r="Y906" s="8"/>
      <c r="Z906" s="8"/>
      <c r="AA906" s="8"/>
      <c r="AB906" s="8"/>
      <c r="AC906" s="8">
        <f t="shared" si="118"/>
        <v>0</v>
      </c>
      <c r="AD906" s="8"/>
      <c r="AE906" s="8"/>
      <c r="AF906" s="8"/>
      <c r="AG906" s="8"/>
      <c r="AH906" s="8"/>
      <c r="AI906" s="8"/>
      <c r="AJ906" s="8"/>
      <c r="AK906" s="8"/>
      <c r="AL906" s="8"/>
      <c r="AM906" s="8">
        <v>119754450</v>
      </c>
      <c r="AN906" s="8">
        <f>SUBTOTAL(9,AC906:AM906)</f>
        <v>119754450</v>
      </c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>
        <f>VLOOKUP(B906,[1]Hoja3!J$3:K$674,2,0)</f>
        <v>168359700</v>
      </c>
      <c r="BB906" s="8">
        <f>VLOOKUP(B906,'[2]anuladas en mayo gratuidad}'!K$2:L$55,2,0)</f>
        <v>50458930</v>
      </c>
      <c r="BC906" s="8">
        <f t="shared" si="119"/>
        <v>237655220</v>
      </c>
      <c r="BD906" s="4"/>
      <c r="BE906" s="4">
        <f t="shared" si="120"/>
        <v>237655220</v>
      </c>
      <c r="BF906" s="30">
        <f t="shared" si="121"/>
        <v>237655220</v>
      </c>
      <c r="BG906" s="18">
        <f t="shared" si="122"/>
        <v>0</v>
      </c>
      <c r="BH906" s="23"/>
      <c r="BI906" s="23"/>
      <c r="BJ906" s="23"/>
    </row>
    <row r="907" spans="1:66" ht="15" customHeight="1" x14ac:dyDescent="0.2">
      <c r="A907" s="1">
        <v>8000991385</v>
      </c>
      <c r="B907" s="1">
        <v>800099138</v>
      </c>
      <c r="C907" s="15">
        <v>218352683</v>
      </c>
      <c r="D907" s="16" t="s">
        <v>739</v>
      </c>
      <c r="E907" s="41" t="s">
        <v>1762</v>
      </c>
      <c r="F907" s="28"/>
      <c r="G907" s="2"/>
      <c r="H907" s="3"/>
      <c r="I907" s="2"/>
      <c r="J907" s="29"/>
      <c r="K907" s="3"/>
      <c r="L907" s="2"/>
      <c r="M907" s="8"/>
      <c r="N907" s="3"/>
      <c r="O907" s="2"/>
      <c r="P907" s="3"/>
      <c r="Q907" s="2"/>
      <c r="R907" s="3"/>
      <c r="S907" s="3"/>
      <c r="T907" s="2"/>
      <c r="U907" s="8">
        <f t="shared" si="117"/>
        <v>0</v>
      </c>
      <c r="V907" s="8"/>
      <c r="W907" s="8"/>
      <c r="X907" s="8"/>
      <c r="Y907" s="8"/>
      <c r="Z907" s="8"/>
      <c r="AA907" s="8"/>
      <c r="AB907" s="8"/>
      <c r="AC907" s="8">
        <f t="shared" si="118"/>
        <v>0</v>
      </c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>
        <v>128697495</v>
      </c>
      <c r="AZ907" s="8"/>
      <c r="BA907" s="8">
        <f>VLOOKUP(B907,[1]Hoja3!J$3:K$674,2,0)</f>
        <v>177947386</v>
      </c>
      <c r="BB907" s="8"/>
      <c r="BC907" s="8">
        <f t="shared" si="119"/>
        <v>306644881</v>
      </c>
      <c r="BD907" s="4">
        <v>128697495</v>
      </c>
      <c r="BE907" s="4">
        <f t="shared" si="120"/>
        <v>177947386</v>
      </c>
      <c r="BF907" s="30">
        <f t="shared" si="121"/>
        <v>306644881</v>
      </c>
      <c r="BG907" s="18">
        <f t="shared" si="122"/>
        <v>0</v>
      </c>
      <c r="BH907" s="23"/>
      <c r="BI907" s="23"/>
      <c r="BJ907" s="23"/>
    </row>
    <row r="908" spans="1:66" ht="15" customHeight="1" x14ac:dyDescent="0.2">
      <c r="A908" s="1">
        <v>8917800560</v>
      </c>
      <c r="B908" s="1">
        <v>891780056</v>
      </c>
      <c r="C908" s="15">
        <v>210747707</v>
      </c>
      <c r="D908" s="16" t="s">
        <v>660</v>
      </c>
      <c r="E908" s="41" t="s">
        <v>1681</v>
      </c>
      <c r="F908" s="28"/>
      <c r="G908" s="2"/>
      <c r="H908" s="3"/>
      <c r="I908" s="2"/>
      <c r="J908" s="29"/>
      <c r="K908" s="3"/>
      <c r="L908" s="2"/>
      <c r="M908" s="8"/>
      <c r="N908" s="3"/>
      <c r="O908" s="2"/>
      <c r="P908" s="3"/>
      <c r="Q908" s="2"/>
      <c r="R908" s="3"/>
      <c r="S908" s="3"/>
      <c r="T908" s="2"/>
      <c r="U908" s="8">
        <f t="shared" si="117"/>
        <v>0</v>
      </c>
      <c r="V908" s="8"/>
      <c r="W908" s="8"/>
      <c r="X908" s="8"/>
      <c r="Y908" s="8"/>
      <c r="Z908" s="8"/>
      <c r="AA908" s="8"/>
      <c r="AB908" s="8"/>
      <c r="AC908" s="8">
        <f t="shared" si="118"/>
        <v>0</v>
      </c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>
        <v>295148675</v>
      </c>
      <c r="AZ908" s="8"/>
      <c r="BA908" s="8">
        <f>VLOOKUP(B908,[1]Hoja3!J$3:K$674,2,0)</f>
        <v>490419491</v>
      </c>
      <c r="BB908" s="8"/>
      <c r="BC908" s="8">
        <f t="shared" si="119"/>
        <v>785568166</v>
      </c>
      <c r="BD908" s="4">
        <v>295148675</v>
      </c>
      <c r="BE908" s="4">
        <f t="shared" si="120"/>
        <v>490419491</v>
      </c>
      <c r="BF908" s="30">
        <f t="shared" si="121"/>
        <v>785568166</v>
      </c>
      <c r="BG908" s="18">
        <f t="shared" si="122"/>
        <v>0</v>
      </c>
      <c r="BH908" s="23"/>
      <c r="BI908" s="23"/>
      <c r="BJ908" s="23"/>
    </row>
    <row r="909" spans="1:66" ht="15" customHeight="1" x14ac:dyDescent="0.2">
      <c r="A909" s="1">
        <v>8190037629</v>
      </c>
      <c r="B909" s="1">
        <v>819003762</v>
      </c>
      <c r="C909" s="15">
        <v>212047720</v>
      </c>
      <c r="D909" s="16" t="s">
        <v>661</v>
      </c>
      <c r="E909" s="41" t="s">
        <v>1682</v>
      </c>
      <c r="F909" s="28"/>
      <c r="G909" s="2"/>
      <c r="H909" s="3"/>
      <c r="I909" s="2"/>
      <c r="J909" s="29"/>
      <c r="K909" s="3"/>
      <c r="L909" s="2"/>
      <c r="M909" s="8"/>
      <c r="N909" s="3"/>
      <c r="O909" s="2"/>
      <c r="P909" s="3"/>
      <c r="Q909" s="2"/>
      <c r="R909" s="3"/>
      <c r="S909" s="3"/>
      <c r="T909" s="2"/>
      <c r="U909" s="8">
        <f t="shared" si="117"/>
        <v>0</v>
      </c>
      <c r="V909" s="8"/>
      <c r="W909" s="8"/>
      <c r="X909" s="8"/>
      <c r="Y909" s="8"/>
      <c r="Z909" s="8"/>
      <c r="AA909" s="8"/>
      <c r="AB909" s="8"/>
      <c r="AC909" s="8">
        <f t="shared" si="118"/>
        <v>0</v>
      </c>
      <c r="AD909" s="8"/>
      <c r="AE909" s="8"/>
      <c r="AF909" s="8"/>
      <c r="AG909" s="8"/>
      <c r="AH909" s="8"/>
      <c r="AI909" s="8"/>
      <c r="AJ909" s="8"/>
      <c r="AK909" s="8"/>
      <c r="AL909" s="8"/>
      <c r="AM909" s="8">
        <v>251052219</v>
      </c>
      <c r="AN909" s="8">
        <f>SUBTOTAL(9,AC909:AM909)</f>
        <v>251052219</v>
      </c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>
        <f t="shared" si="119"/>
        <v>251052219</v>
      </c>
      <c r="BD909" s="4"/>
      <c r="BE909" s="4">
        <f t="shared" si="120"/>
        <v>251052219</v>
      </c>
      <c r="BF909" s="30">
        <f t="shared" si="121"/>
        <v>251052219</v>
      </c>
      <c r="BG909" s="18">
        <f t="shared" si="122"/>
        <v>0</v>
      </c>
      <c r="BH909" s="23"/>
      <c r="BI909" s="23"/>
      <c r="BJ909" s="23"/>
    </row>
    <row r="910" spans="1:66" ht="15" customHeight="1" x14ac:dyDescent="0.2">
      <c r="A910" s="1">
        <v>8909803441</v>
      </c>
      <c r="B910" s="1">
        <v>890980344</v>
      </c>
      <c r="C910" s="15">
        <v>217905679</v>
      </c>
      <c r="D910" s="16" t="s">
        <v>137</v>
      </c>
      <c r="E910" s="41" t="s">
        <v>1166</v>
      </c>
      <c r="F910" s="28"/>
      <c r="G910" s="2"/>
      <c r="H910" s="3"/>
      <c r="I910" s="2"/>
      <c r="J910" s="29"/>
      <c r="K910" s="3"/>
      <c r="L910" s="2"/>
      <c r="M910" s="8"/>
      <c r="N910" s="3"/>
      <c r="O910" s="2"/>
      <c r="P910" s="3"/>
      <c r="Q910" s="2"/>
      <c r="R910" s="3"/>
      <c r="S910" s="3"/>
      <c r="T910" s="2"/>
      <c r="U910" s="8">
        <f t="shared" si="117"/>
        <v>0</v>
      </c>
      <c r="V910" s="8"/>
      <c r="W910" s="8"/>
      <c r="X910" s="8"/>
      <c r="Y910" s="8"/>
      <c r="Z910" s="8"/>
      <c r="AA910" s="8"/>
      <c r="AB910" s="8"/>
      <c r="AC910" s="8">
        <f t="shared" si="118"/>
        <v>0</v>
      </c>
      <c r="AD910" s="8"/>
      <c r="AE910" s="8"/>
      <c r="AF910" s="8"/>
      <c r="AG910" s="8"/>
      <c r="AH910" s="8"/>
      <c r="AI910" s="8"/>
      <c r="AJ910" s="8"/>
      <c r="AK910" s="8"/>
      <c r="AL910" s="8"/>
      <c r="AM910" s="8">
        <v>308030083</v>
      </c>
      <c r="AN910" s="8">
        <f>SUBTOTAL(9,AC910:AM910)</f>
        <v>308030083</v>
      </c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>
        <f t="shared" si="119"/>
        <v>308030083</v>
      </c>
      <c r="BD910" s="4"/>
      <c r="BE910" s="4">
        <f t="shared" si="120"/>
        <v>308030083</v>
      </c>
      <c r="BF910" s="30">
        <f t="shared" si="121"/>
        <v>308030083</v>
      </c>
      <c r="BG910" s="18">
        <f t="shared" si="122"/>
        <v>0</v>
      </c>
      <c r="BH910" s="23"/>
      <c r="BI910" s="23"/>
      <c r="BJ910" s="23"/>
    </row>
    <row r="911" spans="1:66" ht="15" customHeight="1" x14ac:dyDescent="0.2">
      <c r="A911" s="1">
        <v>8000991471</v>
      </c>
      <c r="B911" s="1">
        <v>800099147</v>
      </c>
      <c r="C911" s="15">
        <v>219652696</v>
      </c>
      <c r="D911" s="16" t="s">
        <v>744</v>
      </c>
      <c r="E911" s="41" t="s">
        <v>1765</v>
      </c>
      <c r="F911" s="28"/>
      <c r="G911" s="17"/>
      <c r="H911" s="3"/>
      <c r="I911" s="2"/>
      <c r="J911" s="29"/>
      <c r="K911" s="3"/>
      <c r="L911" s="17"/>
      <c r="M911" s="34"/>
      <c r="N911" s="3"/>
      <c r="O911" s="17"/>
      <c r="P911" s="3"/>
      <c r="Q911" s="2"/>
      <c r="R911" s="3"/>
      <c r="S911" s="3"/>
      <c r="T911" s="17"/>
      <c r="U911" s="8">
        <f t="shared" si="117"/>
        <v>0</v>
      </c>
      <c r="V911" s="8"/>
      <c r="W911" s="8"/>
      <c r="X911" s="8"/>
      <c r="Y911" s="8"/>
      <c r="Z911" s="8"/>
      <c r="AA911" s="8"/>
      <c r="AB911" s="8"/>
      <c r="AC911" s="8">
        <f t="shared" si="118"/>
        <v>0</v>
      </c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>
        <v>250875405</v>
      </c>
      <c r="AZ911" s="8"/>
      <c r="BA911" s="8">
        <f>VLOOKUP(B911,[1]Hoja3!J$3:K$674,2,0)</f>
        <v>241302020</v>
      </c>
      <c r="BB911" s="8"/>
      <c r="BC911" s="8">
        <f t="shared" si="119"/>
        <v>492177425</v>
      </c>
      <c r="BD911" s="4">
        <v>250875405</v>
      </c>
      <c r="BE911" s="4">
        <f t="shared" si="120"/>
        <v>241302020</v>
      </c>
      <c r="BF911" s="30">
        <f t="shared" si="121"/>
        <v>492177425</v>
      </c>
      <c r="BG911" s="18">
        <f t="shared" si="122"/>
        <v>0</v>
      </c>
      <c r="BH911" s="23"/>
      <c r="BI911" s="14"/>
      <c r="BJ911" s="14"/>
      <c r="BK911" s="14"/>
      <c r="BL911" s="14"/>
      <c r="BM911" s="14"/>
      <c r="BN911" s="14"/>
    </row>
    <row r="912" spans="1:66" ht="15" customHeight="1" x14ac:dyDescent="0.2">
      <c r="A912" s="1">
        <v>8902059731</v>
      </c>
      <c r="B912" s="1">
        <v>890205973</v>
      </c>
      <c r="C912" s="15">
        <v>210568705</v>
      </c>
      <c r="D912" s="16" t="s">
        <v>878</v>
      </c>
      <c r="E912" s="41" t="s">
        <v>1892</v>
      </c>
      <c r="F912" s="28"/>
      <c r="G912" s="17"/>
      <c r="H912" s="3"/>
      <c r="I912" s="2"/>
      <c r="J912" s="29"/>
      <c r="K912" s="3"/>
      <c r="L912" s="17"/>
      <c r="M912" s="34"/>
      <c r="N912" s="3"/>
      <c r="O912" s="17"/>
      <c r="P912" s="3"/>
      <c r="Q912" s="2"/>
      <c r="R912" s="3"/>
      <c r="S912" s="3"/>
      <c r="T912" s="17"/>
      <c r="U912" s="8">
        <f t="shared" si="117"/>
        <v>0</v>
      </c>
      <c r="V912" s="8"/>
      <c r="W912" s="8"/>
      <c r="X912" s="8"/>
      <c r="Y912" s="8"/>
      <c r="Z912" s="8"/>
      <c r="AA912" s="8"/>
      <c r="AB912" s="8"/>
      <c r="AC912" s="8">
        <f t="shared" si="118"/>
        <v>0</v>
      </c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>
        <v>14703820</v>
      </c>
      <c r="AZ912" s="8"/>
      <c r="BA912" s="8">
        <f>VLOOKUP(B912,[1]Hoja3!J$3:K$674,2,0)</f>
        <v>33029784</v>
      </c>
      <c r="BB912" s="8"/>
      <c r="BC912" s="8">
        <f t="shared" si="119"/>
        <v>47733604</v>
      </c>
      <c r="BD912" s="4">
        <v>14703820</v>
      </c>
      <c r="BE912" s="4">
        <f t="shared" si="120"/>
        <v>33029784</v>
      </c>
      <c r="BF912" s="30">
        <f t="shared" si="121"/>
        <v>47733604</v>
      </c>
      <c r="BG912" s="18">
        <f t="shared" si="122"/>
        <v>0</v>
      </c>
      <c r="BH912" s="23"/>
      <c r="BI912" s="14"/>
      <c r="BJ912" s="14"/>
      <c r="BK912" s="14"/>
      <c r="BL912" s="14"/>
      <c r="BM912" s="14"/>
      <c r="BN912" s="14"/>
    </row>
    <row r="913" spans="1:66" ht="15" customHeight="1" x14ac:dyDescent="0.2">
      <c r="A913" s="1">
        <v>8904800695</v>
      </c>
      <c r="B913" s="1">
        <v>890480069</v>
      </c>
      <c r="C913" s="15">
        <v>217313673</v>
      </c>
      <c r="D913" s="16" t="s">
        <v>207</v>
      </c>
      <c r="E913" s="41" t="s">
        <v>1241</v>
      </c>
      <c r="F913" s="28"/>
      <c r="G913" s="17"/>
      <c r="H913" s="3"/>
      <c r="I913" s="2"/>
      <c r="J913" s="29"/>
      <c r="K913" s="3"/>
      <c r="L913" s="17"/>
      <c r="M913" s="34"/>
      <c r="N913" s="3"/>
      <c r="O913" s="17"/>
      <c r="P913" s="3"/>
      <c r="Q913" s="2"/>
      <c r="R913" s="3"/>
      <c r="S913" s="3"/>
      <c r="T913" s="17"/>
      <c r="U913" s="8">
        <f t="shared" si="117"/>
        <v>0</v>
      </c>
      <c r="V913" s="8"/>
      <c r="W913" s="8"/>
      <c r="X913" s="8"/>
      <c r="Y913" s="8"/>
      <c r="Z913" s="8"/>
      <c r="AA913" s="8"/>
      <c r="AB913" s="8"/>
      <c r="AC913" s="8">
        <f t="shared" si="118"/>
        <v>0</v>
      </c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>
        <v>120105490</v>
      </c>
      <c r="AZ913" s="8"/>
      <c r="BA913" s="8">
        <f>VLOOKUP(B913,[1]Hoja3!J$3:K$674,2,0)</f>
        <v>256754497</v>
      </c>
      <c r="BB913" s="8"/>
      <c r="BC913" s="8">
        <f t="shared" si="119"/>
        <v>376859987</v>
      </c>
      <c r="BD913" s="4">
        <v>120105490</v>
      </c>
      <c r="BE913" s="4">
        <f t="shared" si="120"/>
        <v>256754497</v>
      </c>
      <c r="BF913" s="30">
        <f t="shared" si="121"/>
        <v>376859987</v>
      </c>
      <c r="BG913" s="18">
        <f t="shared" si="122"/>
        <v>0</v>
      </c>
      <c r="BH913" s="23"/>
      <c r="BI913" s="14"/>
      <c r="BJ913" s="14"/>
      <c r="BK913" s="14"/>
      <c r="BL913" s="14"/>
      <c r="BM913" s="14"/>
      <c r="BN913" s="14"/>
    </row>
    <row r="914" spans="1:66" ht="15" customHeight="1" x14ac:dyDescent="0.2">
      <c r="A914" s="1">
        <v>8000998329</v>
      </c>
      <c r="B914" s="1">
        <v>800099832</v>
      </c>
      <c r="C914" s="15">
        <v>212068720</v>
      </c>
      <c r="D914" s="16" t="s">
        <v>879</v>
      </c>
      <c r="E914" s="41" t="s">
        <v>1893</v>
      </c>
      <c r="F914" s="28"/>
      <c r="G914" s="2"/>
      <c r="H914" s="3"/>
      <c r="I914" s="2"/>
      <c r="J914" s="29"/>
      <c r="K914" s="3"/>
      <c r="L914" s="2"/>
      <c r="M914" s="8"/>
      <c r="N914" s="3"/>
      <c r="O914" s="2"/>
      <c r="P914" s="3"/>
      <c r="Q914" s="2"/>
      <c r="R914" s="3"/>
      <c r="S914" s="3"/>
      <c r="T914" s="2"/>
      <c r="U914" s="8">
        <f t="shared" si="117"/>
        <v>0</v>
      </c>
      <c r="V914" s="8"/>
      <c r="W914" s="8"/>
      <c r="X914" s="8"/>
      <c r="Y914" s="8"/>
      <c r="Z914" s="8"/>
      <c r="AA914" s="8"/>
      <c r="AB914" s="8"/>
      <c r="AC914" s="8">
        <f t="shared" si="118"/>
        <v>0</v>
      </c>
      <c r="AD914" s="8"/>
      <c r="AE914" s="8"/>
      <c r="AF914" s="8"/>
      <c r="AG914" s="8"/>
      <c r="AH914" s="8"/>
      <c r="AI914" s="8"/>
      <c r="AJ914" s="8"/>
      <c r="AK914" s="8"/>
      <c r="AL914" s="8"/>
      <c r="AM914" s="8">
        <v>32410972</v>
      </c>
      <c r="AN914" s="8">
        <f>SUBTOTAL(9,AC914:AM914)</f>
        <v>32410972</v>
      </c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>
        <v>30780420</v>
      </c>
      <c r="AZ914" s="8"/>
      <c r="BA914" s="8">
        <f>VLOOKUP(B914,[1]Hoja3!J$3:K$674,2,0)</f>
        <v>26437089</v>
      </c>
      <c r="BB914" s="8"/>
      <c r="BC914" s="8">
        <f t="shared" si="119"/>
        <v>89628481</v>
      </c>
      <c r="BD914" s="4">
        <v>30780420</v>
      </c>
      <c r="BE914" s="4">
        <f t="shared" si="120"/>
        <v>58848061</v>
      </c>
      <c r="BF914" s="30">
        <f t="shared" si="121"/>
        <v>89628481</v>
      </c>
      <c r="BG914" s="18">
        <f t="shared" si="122"/>
        <v>0</v>
      </c>
      <c r="BH914" s="23"/>
      <c r="BI914" s="23"/>
      <c r="BJ914" s="23"/>
    </row>
    <row r="915" spans="1:66" ht="15" customHeight="1" x14ac:dyDescent="0.2">
      <c r="A915" s="1">
        <v>8900720441</v>
      </c>
      <c r="B915" s="1">
        <v>890072044</v>
      </c>
      <c r="C915" s="15">
        <v>218673686</v>
      </c>
      <c r="D915" s="16" t="s">
        <v>2241</v>
      </c>
      <c r="E915" s="41" t="s">
        <v>1968</v>
      </c>
      <c r="F915" s="28"/>
      <c r="G915" s="2"/>
      <c r="H915" s="3"/>
      <c r="I915" s="2"/>
      <c r="J915" s="29"/>
      <c r="K915" s="3"/>
      <c r="L915" s="2"/>
      <c r="M915" s="8"/>
      <c r="N915" s="3"/>
      <c r="O915" s="2"/>
      <c r="P915" s="3"/>
      <c r="Q915" s="2"/>
      <c r="R915" s="3"/>
      <c r="S915" s="3"/>
      <c r="T915" s="2"/>
      <c r="U915" s="8">
        <f t="shared" si="117"/>
        <v>0</v>
      </c>
      <c r="V915" s="8"/>
      <c r="W915" s="8"/>
      <c r="X915" s="8"/>
      <c r="Y915" s="8"/>
      <c r="Z915" s="8"/>
      <c r="AA915" s="8"/>
      <c r="AB915" s="8"/>
      <c r="AC915" s="8">
        <f t="shared" si="118"/>
        <v>0</v>
      </c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>
        <v>52195685</v>
      </c>
      <c r="AZ915" s="8"/>
      <c r="BA915" s="8">
        <f>VLOOKUP(B915,[1]Hoja3!J$3:K$674,2,0)</f>
        <v>109728709</v>
      </c>
      <c r="BB915" s="8"/>
      <c r="BC915" s="8">
        <f t="shared" si="119"/>
        <v>161924394</v>
      </c>
      <c r="BD915" s="4">
        <v>52195685</v>
      </c>
      <c r="BE915" s="4">
        <f t="shared" si="120"/>
        <v>109728709</v>
      </c>
      <c r="BF915" s="30">
        <f t="shared" si="121"/>
        <v>161924394</v>
      </c>
      <c r="BG915" s="18">
        <f t="shared" si="122"/>
        <v>0</v>
      </c>
      <c r="BH915" s="23"/>
      <c r="BI915" s="23"/>
      <c r="BJ915" s="23"/>
    </row>
    <row r="916" spans="1:66" ht="15" customHeight="1" x14ac:dyDescent="0.2">
      <c r="A916" s="1">
        <v>8000192541</v>
      </c>
      <c r="B916" s="1">
        <v>800019254</v>
      </c>
      <c r="C916" s="15">
        <v>217508675</v>
      </c>
      <c r="D916" s="16" t="s">
        <v>176</v>
      </c>
      <c r="E916" s="41" t="s">
        <v>1205</v>
      </c>
      <c r="F916" s="28"/>
      <c r="G916" s="2"/>
      <c r="H916" s="3"/>
      <c r="I916" s="2"/>
      <c r="J916" s="29"/>
      <c r="K916" s="3"/>
      <c r="L916" s="2"/>
      <c r="M916" s="8"/>
      <c r="N916" s="3"/>
      <c r="O916" s="2"/>
      <c r="P916" s="3"/>
      <c r="Q916" s="2"/>
      <c r="R916" s="3"/>
      <c r="S916" s="3"/>
      <c r="T916" s="2"/>
      <c r="U916" s="8">
        <f t="shared" si="117"/>
        <v>0</v>
      </c>
      <c r="V916" s="8"/>
      <c r="W916" s="8"/>
      <c r="X916" s="8"/>
      <c r="Y916" s="8"/>
      <c r="Z916" s="8"/>
      <c r="AA916" s="8"/>
      <c r="AB916" s="8"/>
      <c r="AC916" s="8">
        <f t="shared" si="118"/>
        <v>0</v>
      </c>
      <c r="AD916" s="8"/>
      <c r="AE916" s="8"/>
      <c r="AF916" s="8"/>
      <c r="AG916" s="8"/>
      <c r="AH916" s="8"/>
      <c r="AI916" s="8"/>
      <c r="AJ916" s="8"/>
      <c r="AK916" s="8"/>
      <c r="AL916" s="8"/>
      <c r="AM916" s="8">
        <v>187275648</v>
      </c>
      <c r="AN916" s="8">
        <f>SUBTOTAL(9,AC916:AM916)</f>
        <v>187275648</v>
      </c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>
        <v>118763035</v>
      </c>
      <c r="AZ916" s="8"/>
      <c r="BA916" s="8">
        <f>VLOOKUP(B916,[1]Hoja3!J$3:K$674,2,0)</f>
        <v>40134952</v>
      </c>
      <c r="BB916" s="8"/>
      <c r="BC916" s="8">
        <f t="shared" si="119"/>
        <v>346173635</v>
      </c>
      <c r="BD916" s="4">
        <v>118763035</v>
      </c>
      <c r="BE916" s="4">
        <f t="shared" si="120"/>
        <v>227410600</v>
      </c>
      <c r="BF916" s="30">
        <f t="shared" si="121"/>
        <v>346173635</v>
      </c>
      <c r="BG916" s="18">
        <f t="shared" si="122"/>
        <v>0</v>
      </c>
      <c r="BH916" s="23"/>
      <c r="BI916" s="23"/>
      <c r="BJ916" s="23"/>
    </row>
    <row r="917" spans="1:66" ht="15" customHeight="1" x14ac:dyDescent="0.2">
      <c r="A917" s="1">
        <v>8000293866</v>
      </c>
      <c r="B917" s="1">
        <v>800029386</v>
      </c>
      <c r="C917" s="15">
        <v>219015690</v>
      </c>
      <c r="D917" s="16" t="s">
        <v>303</v>
      </c>
      <c r="E917" s="41" t="s">
        <v>1334</v>
      </c>
      <c r="F917" s="28"/>
      <c r="G917" s="17"/>
      <c r="H917" s="3"/>
      <c r="I917" s="2"/>
      <c r="J917" s="29"/>
      <c r="K917" s="3"/>
      <c r="L917" s="17"/>
      <c r="M917" s="34"/>
      <c r="N917" s="3"/>
      <c r="O917" s="17"/>
      <c r="P917" s="3"/>
      <c r="Q917" s="2"/>
      <c r="R917" s="3"/>
      <c r="S917" s="3"/>
      <c r="T917" s="17"/>
      <c r="U917" s="8">
        <f t="shared" si="117"/>
        <v>0</v>
      </c>
      <c r="V917" s="8"/>
      <c r="W917" s="8"/>
      <c r="X917" s="8"/>
      <c r="Y917" s="8"/>
      <c r="Z917" s="8"/>
      <c r="AA917" s="8"/>
      <c r="AB917" s="8"/>
      <c r="AC917" s="8">
        <f t="shared" si="118"/>
        <v>0</v>
      </c>
      <c r="AD917" s="8"/>
      <c r="AE917" s="8"/>
      <c r="AF917" s="8"/>
      <c r="AG917" s="8"/>
      <c r="AH917" s="8"/>
      <c r="AI917" s="8"/>
      <c r="AJ917" s="8"/>
      <c r="AK917" s="8"/>
      <c r="AL917" s="8"/>
      <c r="AM917" s="8">
        <v>49485917</v>
      </c>
      <c r="AN917" s="8">
        <f>SUBTOTAL(9,AC917:AM917)</f>
        <v>49485917</v>
      </c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>
        <f t="shared" si="119"/>
        <v>49485917</v>
      </c>
      <c r="BD917" s="4"/>
      <c r="BE917" s="4">
        <f t="shared" si="120"/>
        <v>49485917</v>
      </c>
      <c r="BF917" s="30">
        <f t="shared" si="121"/>
        <v>49485917</v>
      </c>
      <c r="BG917" s="18">
        <f t="shared" si="122"/>
        <v>0</v>
      </c>
      <c r="BH917" s="23"/>
      <c r="BI917" s="14"/>
      <c r="BJ917" s="14"/>
      <c r="BK917" s="14"/>
      <c r="BL917" s="14"/>
      <c r="BM917" s="14"/>
      <c r="BN917" s="14"/>
    </row>
    <row r="918" spans="1:66" ht="15" customHeight="1" x14ac:dyDescent="0.2">
      <c r="A918" s="1">
        <v>8911800763</v>
      </c>
      <c r="B918" s="1">
        <v>891180076</v>
      </c>
      <c r="C918" s="15">
        <v>217641676</v>
      </c>
      <c r="D918" s="16" t="s">
        <v>620</v>
      </c>
      <c r="E918" s="41" t="s">
        <v>1640</v>
      </c>
      <c r="F918" s="28"/>
      <c r="G918" s="2"/>
      <c r="H918" s="3"/>
      <c r="I918" s="2"/>
      <c r="J918" s="29"/>
      <c r="K918" s="3"/>
      <c r="L918" s="2"/>
      <c r="M918" s="8"/>
      <c r="N918" s="3"/>
      <c r="O918" s="2"/>
      <c r="P918" s="3"/>
      <c r="Q918" s="2"/>
      <c r="R918" s="3"/>
      <c r="S918" s="3"/>
      <c r="T918" s="2"/>
      <c r="U918" s="8">
        <f t="shared" si="117"/>
        <v>0</v>
      </c>
      <c r="V918" s="8"/>
      <c r="W918" s="8"/>
      <c r="X918" s="8"/>
      <c r="Y918" s="8"/>
      <c r="Z918" s="8"/>
      <c r="AA918" s="8"/>
      <c r="AB918" s="8"/>
      <c r="AC918" s="8">
        <f t="shared" si="118"/>
        <v>0</v>
      </c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>
        <v>77672630</v>
      </c>
      <c r="AZ918" s="8"/>
      <c r="BA918" s="8">
        <f>VLOOKUP(B918,[1]Hoja3!J$3:K$674,2,0)</f>
        <v>174495129</v>
      </c>
      <c r="BB918" s="8"/>
      <c r="BC918" s="8">
        <f t="shared" si="119"/>
        <v>252167759</v>
      </c>
      <c r="BD918" s="4">
        <v>77672630</v>
      </c>
      <c r="BE918" s="4">
        <f t="shared" si="120"/>
        <v>174495129</v>
      </c>
      <c r="BF918" s="30">
        <f t="shared" si="121"/>
        <v>252167759</v>
      </c>
      <c r="BG918" s="18">
        <f t="shared" si="122"/>
        <v>0</v>
      </c>
      <c r="BH918" s="23"/>
      <c r="BI918" s="23"/>
      <c r="BJ918" s="23"/>
    </row>
    <row r="919" spans="1:66" ht="15" customHeight="1" x14ac:dyDescent="0.2">
      <c r="A919" s="1">
        <v>8914800334</v>
      </c>
      <c r="B919" s="1">
        <v>891480033</v>
      </c>
      <c r="C919" s="15">
        <v>218266682</v>
      </c>
      <c r="D919" s="16" t="s">
        <v>810</v>
      </c>
      <c r="E919" s="41" t="s">
        <v>1828</v>
      </c>
      <c r="F919" s="28"/>
      <c r="G919" s="2"/>
      <c r="H919" s="3"/>
      <c r="I919" s="2"/>
      <c r="J919" s="29"/>
      <c r="K919" s="3"/>
      <c r="L919" s="2"/>
      <c r="M919" s="8"/>
      <c r="N919" s="3"/>
      <c r="O919" s="2"/>
      <c r="P919" s="3"/>
      <c r="Q919" s="2"/>
      <c r="R919" s="3"/>
      <c r="S919" s="3"/>
      <c r="T919" s="2"/>
      <c r="U919" s="8">
        <f t="shared" si="117"/>
        <v>0</v>
      </c>
      <c r="V919" s="8"/>
      <c r="W919" s="8"/>
      <c r="X919" s="8"/>
      <c r="Y919" s="8"/>
      <c r="Z919" s="8"/>
      <c r="AA919" s="8"/>
      <c r="AB919" s="8"/>
      <c r="AC919" s="8">
        <f t="shared" si="118"/>
        <v>0</v>
      </c>
      <c r="AD919" s="8"/>
      <c r="AE919" s="8"/>
      <c r="AF919" s="8"/>
      <c r="AG919" s="8"/>
      <c r="AH919" s="8"/>
      <c r="AI919" s="8"/>
      <c r="AJ919" s="8"/>
      <c r="AK919" s="8"/>
      <c r="AL919" s="8"/>
      <c r="AM919" s="8">
        <v>639661229</v>
      </c>
      <c r="AN919" s="8">
        <f>SUBTOTAL(9,AC919:AM919)</f>
        <v>639661229</v>
      </c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>
        <v>431295360</v>
      </c>
      <c r="AZ919" s="8"/>
      <c r="BA919" s="8">
        <f>VLOOKUP(B919,[1]Hoja3!J$3:K$674,2,0)</f>
        <v>222339069</v>
      </c>
      <c r="BB919" s="8"/>
      <c r="BC919" s="8">
        <f t="shared" si="119"/>
        <v>1293295658</v>
      </c>
      <c r="BD919" s="4">
        <v>431295360</v>
      </c>
      <c r="BE919" s="4">
        <f t="shared" si="120"/>
        <v>862000298</v>
      </c>
      <c r="BF919" s="30">
        <f t="shared" si="121"/>
        <v>1293295658</v>
      </c>
      <c r="BG919" s="18">
        <f t="shared" si="122"/>
        <v>0</v>
      </c>
      <c r="BH919" s="23"/>
      <c r="BI919" s="23"/>
      <c r="BJ919" s="23"/>
    </row>
    <row r="920" spans="1:66" ht="15" customHeight="1" x14ac:dyDescent="0.2">
      <c r="A920" s="1">
        <v>8909815546</v>
      </c>
      <c r="B920" s="1">
        <v>890981554</v>
      </c>
      <c r="C920" s="15">
        <v>218605686</v>
      </c>
      <c r="D920" s="16" t="s">
        <v>138</v>
      </c>
      <c r="E920" s="41" t="s">
        <v>1167</v>
      </c>
      <c r="F920" s="28"/>
      <c r="G920" s="2"/>
      <c r="H920" s="3"/>
      <c r="I920" s="2"/>
      <c r="J920" s="29"/>
      <c r="K920" s="3"/>
      <c r="L920" s="2"/>
      <c r="M920" s="8"/>
      <c r="N920" s="3"/>
      <c r="O920" s="2"/>
      <c r="P920" s="3"/>
      <c r="Q920" s="2"/>
      <c r="R920" s="3"/>
      <c r="S920" s="3"/>
      <c r="T920" s="2"/>
      <c r="U920" s="8">
        <f t="shared" si="117"/>
        <v>0</v>
      </c>
      <c r="V920" s="8"/>
      <c r="W920" s="8"/>
      <c r="X920" s="8"/>
      <c r="Y920" s="8"/>
      <c r="Z920" s="8"/>
      <c r="AA920" s="8"/>
      <c r="AB920" s="8"/>
      <c r="AC920" s="8">
        <f t="shared" si="118"/>
        <v>0</v>
      </c>
      <c r="AD920" s="8"/>
      <c r="AE920" s="8"/>
      <c r="AF920" s="8"/>
      <c r="AG920" s="8"/>
      <c r="AH920" s="8"/>
      <c r="AI920" s="8"/>
      <c r="AJ920" s="8"/>
      <c r="AK920" s="8"/>
      <c r="AL920" s="8"/>
      <c r="AM920" s="8">
        <v>500064114</v>
      </c>
      <c r="AN920" s="8">
        <f>SUBTOTAL(9,AC920:AM920)</f>
        <v>500064114</v>
      </c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>
        <v>199668850</v>
      </c>
      <c r="AZ920" s="8"/>
      <c r="BA920" s="8"/>
      <c r="BB920" s="8"/>
      <c r="BC920" s="8">
        <f t="shared" si="119"/>
        <v>699732964</v>
      </c>
      <c r="BD920" s="4">
        <v>199668850</v>
      </c>
      <c r="BE920" s="4">
        <f t="shared" si="120"/>
        <v>500064114</v>
      </c>
      <c r="BF920" s="30">
        <f t="shared" si="121"/>
        <v>699732964</v>
      </c>
      <c r="BG920" s="18">
        <f t="shared" si="122"/>
        <v>0</v>
      </c>
      <c r="BH920" s="23"/>
      <c r="BI920" s="23"/>
      <c r="BJ920" s="23"/>
    </row>
    <row r="921" spans="1:66" ht="15" customHeight="1" x14ac:dyDescent="0.2">
      <c r="A921" s="1">
        <v>8000392133</v>
      </c>
      <c r="B921" s="1">
        <v>800039213</v>
      </c>
      <c r="C921" s="15">
        <v>219315693</v>
      </c>
      <c r="D921" s="16" t="s">
        <v>2176</v>
      </c>
      <c r="E921" s="41" t="s">
        <v>1335</v>
      </c>
      <c r="F921" s="28"/>
      <c r="G921" s="17"/>
      <c r="H921" s="3"/>
      <c r="I921" s="2"/>
      <c r="J921" s="29"/>
      <c r="K921" s="3"/>
      <c r="L921" s="17"/>
      <c r="M921" s="34"/>
      <c r="N921" s="3"/>
      <c r="O921" s="17"/>
      <c r="P921" s="3"/>
      <c r="Q921" s="2"/>
      <c r="R921" s="3"/>
      <c r="S921" s="3"/>
      <c r="T921" s="17"/>
      <c r="U921" s="8">
        <f t="shared" si="117"/>
        <v>0</v>
      </c>
      <c r="V921" s="8"/>
      <c r="W921" s="8"/>
      <c r="X921" s="8"/>
      <c r="Y921" s="8"/>
      <c r="Z921" s="8"/>
      <c r="AA921" s="8"/>
      <c r="AB921" s="8"/>
      <c r="AC921" s="8">
        <f t="shared" si="118"/>
        <v>0</v>
      </c>
      <c r="AD921" s="8"/>
      <c r="AE921" s="8"/>
      <c r="AF921" s="8"/>
      <c r="AG921" s="8"/>
      <c r="AH921" s="8"/>
      <c r="AI921" s="8"/>
      <c r="AJ921" s="8"/>
      <c r="AK921" s="8"/>
      <c r="AL921" s="8"/>
      <c r="AM921" s="8">
        <v>93165100</v>
      </c>
      <c r="AN921" s="8">
        <f>SUBTOTAL(9,AC921:AM921)</f>
        <v>93165100</v>
      </c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>
        <v>66759640</v>
      </c>
      <c r="AZ921" s="8"/>
      <c r="BA921" s="8">
        <f>VLOOKUP(B921,[1]Hoja3!J$3:K$674,2,0)</f>
        <v>48960403</v>
      </c>
      <c r="BB921" s="8"/>
      <c r="BC921" s="8">
        <f t="shared" si="119"/>
        <v>208885143</v>
      </c>
      <c r="BD921" s="4">
        <v>66759640</v>
      </c>
      <c r="BE921" s="4">
        <f t="shared" si="120"/>
        <v>142125503</v>
      </c>
      <c r="BF921" s="30">
        <f t="shared" si="121"/>
        <v>208885143</v>
      </c>
      <c r="BG921" s="18">
        <f t="shared" si="122"/>
        <v>0</v>
      </c>
      <c r="BH921" s="23"/>
      <c r="BI921" s="14"/>
      <c r="BJ921" s="14"/>
      <c r="BK921" s="14"/>
      <c r="BL921" s="14"/>
      <c r="BM921" s="14"/>
      <c r="BN921" s="14"/>
    </row>
    <row r="922" spans="1:66" ht="15" customHeight="1" x14ac:dyDescent="0.2">
      <c r="A922" s="1">
        <v>8000490179</v>
      </c>
      <c r="B922" s="1">
        <v>800049017</v>
      </c>
      <c r="C922" s="15">
        <v>218813688</v>
      </c>
      <c r="D922" s="16" t="s">
        <v>2160</v>
      </c>
      <c r="E922" s="41" t="s">
        <v>1243</v>
      </c>
      <c r="F922" s="28"/>
      <c r="G922" s="17"/>
      <c r="H922" s="3"/>
      <c r="I922" s="2"/>
      <c r="J922" s="29"/>
      <c r="K922" s="3"/>
      <c r="L922" s="17"/>
      <c r="M922" s="34"/>
      <c r="N922" s="3"/>
      <c r="O922" s="17"/>
      <c r="P922" s="3"/>
      <c r="Q922" s="2"/>
      <c r="R922" s="3"/>
      <c r="S922" s="3"/>
      <c r="T922" s="17"/>
      <c r="U922" s="8">
        <f t="shared" si="117"/>
        <v>0</v>
      </c>
      <c r="V922" s="8"/>
      <c r="W922" s="8"/>
      <c r="X922" s="8"/>
      <c r="Y922" s="8"/>
      <c r="Z922" s="8"/>
      <c r="AA922" s="8"/>
      <c r="AB922" s="8"/>
      <c r="AC922" s="8">
        <f t="shared" si="118"/>
        <v>0</v>
      </c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>
        <v>327441885</v>
      </c>
      <c r="AZ922" s="8"/>
      <c r="BA922" s="8">
        <f>VLOOKUP(B922,[1]Hoja3!J$3:K$674,2,0)</f>
        <v>421673913</v>
      </c>
      <c r="BB922" s="8"/>
      <c r="BC922" s="8">
        <f t="shared" si="119"/>
        <v>749115798</v>
      </c>
      <c r="BD922" s="4">
        <v>327441885</v>
      </c>
      <c r="BE922" s="4">
        <f t="shared" si="120"/>
        <v>421673913</v>
      </c>
      <c r="BF922" s="30">
        <f t="shared" si="121"/>
        <v>749115798</v>
      </c>
      <c r="BG922" s="18">
        <f t="shared" si="122"/>
        <v>0</v>
      </c>
      <c r="BH922" s="23"/>
      <c r="BI922" s="14"/>
      <c r="BJ922" s="14"/>
      <c r="BK922" s="14"/>
      <c r="BL922" s="14"/>
      <c r="BM922" s="14"/>
      <c r="BN922" s="14"/>
    </row>
    <row r="923" spans="1:66" ht="15" customHeight="1" x14ac:dyDescent="0.2">
      <c r="A923" s="1">
        <v>8904813433</v>
      </c>
      <c r="B923" s="1">
        <v>890481343</v>
      </c>
      <c r="C923" s="15">
        <v>218313683</v>
      </c>
      <c r="D923" s="16" t="s">
        <v>208</v>
      </c>
      <c r="E923" s="41" t="s">
        <v>1242</v>
      </c>
      <c r="F923" s="28"/>
      <c r="G923" s="2"/>
      <c r="H923" s="3"/>
      <c r="I923" s="2"/>
      <c r="J923" s="29"/>
      <c r="K923" s="3"/>
      <c r="L923" s="2"/>
      <c r="M923" s="8"/>
      <c r="N923" s="3"/>
      <c r="O923" s="2"/>
      <c r="P923" s="3"/>
      <c r="Q923" s="2"/>
      <c r="R923" s="3"/>
      <c r="S923" s="3"/>
      <c r="T923" s="2"/>
      <c r="U923" s="8">
        <f t="shared" si="117"/>
        <v>0</v>
      </c>
      <c r="V923" s="8"/>
      <c r="W923" s="8"/>
      <c r="X923" s="8"/>
      <c r="Y923" s="8"/>
      <c r="Z923" s="8"/>
      <c r="AA923" s="8"/>
      <c r="AB923" s="8"/>
      <c r="AC923" s="8">
        <f t="shared" si="118"/>
        <v>0</v>
      </c>
      <c r="AD923" s="8"/>
      <c r="AE923" s="8"/>
      <c r="AF923" s="8"/>
      <c r="AG923" s="8"/>
      <c r="AH923" s="8"/>
      <c r="AI923" s="8"/>
      <c r="AJ923" s="8"/>
      <c r="AK923" s="8"/>
      <c r="AL923" s="8"/>
      <c r="AM923" s="8">
        <v>270001380</v>
      </c>
      <c r="AN923" s="8">
        <f>SUBTOTAL(9,AC923:AM923)</f>
        <v>270001380</v>
      </c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>
        <f>VLOOKUP(B923,[1]Hoja3!J$3:K$674,2,0)</f>
        <v>15499828</v>
      </c>
      <c r="BB923" s="8"/>
      <c r="BC923" s="8">
        <f t="shared" si="119"/>
        <v>285501208</v>
      </c>
      <c r="BD923" s="4"/>
      <c r="BE923" s="4">
        <f t="shared" si="120"/>
        <v>285501208</v>
      </c>
      <c r="BF923" s="30">
        <f t="shared" si="121"/>
        <v>285501208</v>
      </c>
      <c r="BG923" s="18">
        <f t="shared" si="122"/>
        <v>0</v>
      </c>
      <c r="BH923" s="23"/>
      <c r="BI923" s="23"/>
      <c r="BJ923" s="23"/>
    </row>
    <row r="924" spans="1:66" ht="15" customHeight="1" x14ac:dyDescent="0.2">
      <c r="A924" s="1">
        <v>8000959841</v>
      </c>
      <c r="B924" s="1">
        <v>800095984</v>
      </c>
      <c r="C924" s="15">
        <v>210119701</v>
      </c>
      <c r="D924" s="16" t="s">
        <v>403</v>
      </c>
      <c r="E924" s="41" t="s">
        <v>1432</v>
      </c>
      <c r="F924" s="28"/>
      <c r="G924" s="17"/>
      <c r="H924" s="3"/>
      <c r="I924" s="2"/>
      <c r="J924" s="29"/>
      <c r="K924" s="3"/>
      <c r="L924" s="17"/>
      <c r="M924" s="34"/>
      <c r="N924" s="3"/>
      <c r="O924" s="17"/>
      <c r="P924" s="3"/>
      <c r="Q924" s="2"/>
      <c r="R924" s="3"/>
      <c r="S924" s="3"/>
      <c r="T924" s="17"/>
      <c r="U924" s="8">
        <f t="shared" si="117"/>
        <v>0</v>
      </c>
      <c r="V924" s="8"/>
      <c r="W924" s="8"/>
      <c r="X924" s="8"/>
      <c r="Y924" s="8"/>
      <c r="Z924" s="8"/>
      <c r="AA924" s="8"/>
      <c r="AB924" s="8"/>
      <c r="AC924" s="8">
        <f t="shared" si="118"/>
        <v>0</v>
      </c>
      <c r="AD924" s="8"/>
      <c r="AE924" s="8"/>
      <c r="AF924" s="8"/>
      <c r="AG924" s="8"/>
      <c r="AH924" s="8"/>
      <c r="AI924" s="8"/>
      <c r="AJ924" s="8"/>
      <c r="AK924" s="8"/>
      <c r="AL924" s="8"/>
      <c r="AM924" s="8">
        <v>55671853</v>
      </c>
      <c r="AN924" s="8">
        <f>SUBTOTAL(9,AC924:AM924)</f>
        <v>55671853</v>
      </c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>
        <f t="shared" si="119"/>
        <v>55671853</v>
      </c>
      <c r="BD924" s="4"/>
      <c r="BE924" s="4">
        <f t="shared" si="120"/>
        <v>55671853</v>
      </c>
      <c r="BF924" s="30">
        <f t="shared" si="121"/>
        <v>55671853</v>
      </c>
      <c r="BG924" s="18">
        <f t="shared" si="122"/>
        <v>0</v>
      </c>
      <c r="BH924" s="23"/>
      <c r="BI924" s="14"/>
      <c r="BJ924" s="14"/>
      <c r="BK924" s="14"/>
      <c r="BL924" s="14"/>
      <c r="BM924" s="14"/>
      <c r="BN924" s="14"/>
    </row>
    <row r="925" spans="1:66" ht="15" customHeight="1" x14ac:dyDescent="0.2">
      <c r="A925" s="1">
        <v>8001033181</v>
      </c>
      <c r="B925" s="1">
        <v>800103318</v>
      </c>
      <c r="C925" s="15">
        <v>212499624</v>
      </c>
      <c r="D925" s="16" t="s">
        <v>999</v>
      </c>
      <c r="E925" s="41" t="s">
        <v>2057</v>
      </c>
      <c r="F925" s="28"/>
      <c r="G925" s="2"/>
      <c r="H925" s="3"/>
      <c r="I925" s="2"/>
      <c r="J925" s="29"/>
      <c r="K925" s="3"/>
      <c r="L925" s="2"/>
      <c r="M925" s="8"/>
      <c r="N925" s="3"/>
      <c r="O925" s="2"/>
      <c r="P925" s="3"/>
      <c r="Q925" s="2"/>
      <c r="R925" s="3"/>
      <c r="S925" s="3"/>
      <c r="T925" s="2"/>
      <c r="U925" s="8">
        <f t="shared" si="117"/>
        <v>0</v>
      </c>
      <c r="V925" s="8"/>
      <c r="W925" s="8"/>
      <c r="X925" s="8"/>
      <c r="Y925" s="8"/>
      <c r="Z925" s="8"/>
      <c r="AA925" s="8"/>
      <c r="AB925" s="8"/>
      <c r="AC925" s="8">
        <f t="shared" si="118"/>
        <v>0</v>
      </c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>
        <f>VLOOKUP(B925,[1]Hoja3!J$3:K$674,2,0)</f>
        <v>82524740</v>
      </c>
      <c r="BB925" s="8"/>
      <c r="BC925" s="8">
        <f t="shared" si="119"/>
        <v>82524740</v>
      </c>
      <c r="BD925" s="4"/>
      <c r="BE925" s="4">
        <f t="shared" si="120"/>
        <v>82524740</v>
      </c>
      <c r="BF925" s="30">
        <f t="shared" si="121"/>
        <v>82524740</v>
      </c>
      <c r="BG925" s="18">
        <f t="shared" si="122"/>
        <v>0</v>
      </c>
      <c r="BH925" s="23"/>
      <c r="BI925" s="23"/>
      <c r="BJ925" s="23"/>
    </row>
    <row r="926" spans="1:66" ht="15" customHeight="1" x14ac:dyDescent="0.2">
      <c r="A926" s="1">
        <v>8000996512</v>
      </c>
      <c r="B926" s="1">
        <v>800099651</v>
      </c>
      <c r="C926" s="15">
        <v>219615696</v>
      </c>
      <c r="D926" s="16" t="s">
        <v>304</v>
      </c>
      <c r="E926" s="41" t="s">
        <v>1336</v>
      </c>
      <c r="F926" s="28"/>
      <c r="G926" s="17"/>
      <c r="H926" s="3"/>
      <c r="I926" s="2"/>
      <c r="J926" s="29"/>
      <c r="K926" s="3"/>
      <c r="L926" s="17"/>
      <c r="M926" s="34"/>
      <c r="N926" s="3"/>
      <c r="O926" s="17"/>
      <c r="P926" s="3"/>
      <c r="Q926" s="2"/>
      <c r="R926" s="3"/>
      <c r="S926" s="3"/>
      <c r="T926" s="17"/>
      <c r="U926" s="8">
        <f t="shared" si="117"/>
        <v>0</v>
      </c>
      <c r="V926" s="8"/>
      <c r="W926" s="8"/>
      <c r="X926" s="8"/>
      <c r="Y926" s="8"/>
      <c r="Z926" s="8"/>
      <c r="AA926" s="8"/>
      <c r="AB926" s="8"/>
      <c r="AC926" s="8">
        <f t="shared" si="118"/>
        <v>0</v>
      </c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>
        <v>16969435</v>
      </c>
      <c r="AZ926" s="8"/>
      <c r="BA926" s="8">
        <f>VLOOKUP(B926,[1]Hoja3!J$3:K$674,2,0)</f>
        <v>41833288</v>
      </c>
      <c r="BB926" s="8"/>
      <c r="BC926" s="8">
        <f t="shared" si="119"/>
        <v>58802723</v>
      </c>
      <c r="BD926" s="4">
        <v>16969435</v>
      </c>
      <c r="BE926" s="4">
        <f t="shared" si="120"/>
        <v>41833288</v>
      </c>
      <c r="BF926" s="30">
        <f t="shared" si="121"/>
        <v>58802723</v>
      </c>
      <c r="BG926" s="18">
        <f t="shared" si="122"/>
        <v>0</v>
      </c>
      <c r="BH926" s="23"/>
      <c r="BI926" s="14"/>
      <c r="BJ926" s="14"/>
      <c r="BK926" s="14"/>
      <c r="BL926" s="14"/>
      <c r="BM926" s="14"/>
      <c r="BN926" s="14"/>
    </row>
    <row r="927" spans="1:66" ht="15" customHeight="1" x14ac:dyDescent="0.2">
      <c r="A927" s="1">
        <v>8000196850</v>
      </c>
      <c r="B927" s="1">
        <v>800019685</v>
      </c>
      <c r="C927" s="15">
        <v>219952699</v>
      </c>
      <c r="D927" s="16" t="s">
        <v>745</v>
      </c>
      <c r="E927" s="41" t="s">
        <v>1766</v>
      </c>
      <c r="F927" s="28"/>
      <c r="G927" s="2"/>
      <c r="H927" s="3"/>
      <c r="I927" s="2"/>
      <c r="J927" s="29"/>
      <c r="K927" s="3"/>
      <c r="L927" s="2"/>
      <c r="M927" s="8"/>
      <c r="N927" s="3"/>
      <c r="O927" s="2"/>
      <c r="P927" s="3"/>
      <c r="Q927" s="2"/>
      <c r="R927" s="3"/>
      <c r="S927" s="3"/>
      <c r="T927" s="2"/>
      <c r="U927" s="8">
        <f t="shared" si="117"/>
        <v>0</v>
      </c>
      <c r="V927" s="8"/>
      <c r="W927" s="8"/>
      <c r="X927" s="8"/>
      <c r="Y927" s="8"/>
      <c r="Z927" s="8"/>
      <c r="AA927" s="8"/>
      <c r="AB927" s="8"/>
      <c r="AC927" s="8">
        <f t="shared" si="118"/>
        <v>0</v>
      </c>
      <c r="AD927" s="8"/>
      <c r="AE927" s="8"/>
      <c r="AF927" s="8"/>
      <c r="AG927" s="8"/>
      <c r="AH927" s="8"/>
      <c r="AI927" s="8"/>
      <c r="AJ927" s="8"/>
      <c r="AK927" s="8"/>
      <c r="AL927" s="8"/>
      <c r="AM927" s="8">
        <v>126513292</v>
      </c>
      <c r="AN927" s="8">
        <f>SUBTOTAL(9,AC927:AM927)</f>
        <v>126513292</v>
      </c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>
        <v>78357180</v>
      </c>
      <c r="AZ927" s="8"/>
      <c r="BA927" s="8"/>
      <c r="BB927" s="8"/>
      <c r="BC927" s="8">
        <f t="shared" si="119"/>
        <v>204870472</v>
      </c>
      <c r="BD927" s="4">
        <v>78357180</v>
      </c>
      <c r="BE927" s="4">
        <f t="shared" si="120"/>
        <v>126513292</v>
      </c>
      <c r="BF927" s="30">
        <f t="shared" si="121"/>
        <v>204870472</v>
      </c>
      <c r="BG927" s="18">
        <f t="shared" si="122"/>
        <v>0</v>
      </c>
      <c r="BH927" s="23"/>
      <c r="BI927" s="23"/>
      <c r="BJ927" s="23"/>
    </row>
    <row r="928" spans="1:66" ht="15" customHeight="1" x14ac:dyDescent="0.2">
      <c r="A928" s="1">
        <v>8000207338</v>
      </c>
      <c r="B928" s="1">
        <v>800020733</v>
      </c>
      <c r="C928" s="15">
        <v>218615686</v>
      </c>
      <c r="D928" s="16" t="s">
        <v>302</v>
      </c>
      <c r="E928" s="41" t="s">
        <v>1333</v>
      </c>
      <c r="F928" s="28"/>
      <c r="G928" s="17"/>
      <c r="H928" s="3"/>
      <c r="I928" s="2"/>
      <c r="J928" s="29"/>
      <c r="K928" s="3"/>
      <c r="L928" s="17"/>
      <c r="M928" s="34"/>
      <c r="N928" s="3"/>
      <c r="O928" s="17"/>
      <c r="P928" s="3"/>
      <c r="Q928" s="2"/>
      <c r="R928" s="3"/>
      <c r="S928" s="3"/>
      <c r="T928" s="17"/>
      <c r="U928" s="8">
        <f t="shared" si="117"/>
        <v>0</v>
      </c>
      <c r="V928" s="8"/>
      <c r="W928" s="8"/>
      <c r="X928" s="8"/>
      <c r="Y928" s="8"/>
      <c r="Z928" s="8"/>
      <c r="AA928" s="8"/>
      <c r="AB928" s="8"/>
      <c r="AC928" s="8">
        <f t="shared" si="118"/>
        <v>0</v>
      </c>
      <c r="AD928" s="8"/>
      <c r="AE928" s="8"/>
      <c r="AF928" s="8"/>
      <c r="AG928" s="8"/>
      <c r="AH928" s="8"/>
      <c r="AI928" s="8"/>
      <c r="AJ928" s="8"/>
      <c r="AK928" s="8"/>
      <c r="AL928" s="8"/>
      <c r="AM928" s="8">
        <v>115159680</v>
      </c>
      <c r="AN928" s="8">
        <f>SUBTOTAL(9,AC928:AM928)</f>
        <v>115159680</v>
      </c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>
        <v>56019685</v>
      </c>
      <c r="AZ928" s="8"/>
      <c r="BA928" s="8"/>
      <c r="BB928" s="8"/>
      <c r="BC928" s="8">
        <f t="shared" si="119"/>
        <v>171179365</v>
      </c>
      <c r="BD928" s="4">
        <v>56019685</v>
      </c>
      <c r="BE928" s="4">
        <f t="shared" si="120"/>
        <v>115159680</v>
      </c>
      <c r="BF928" s="30">
        <f t="shared" si="121"/>
        <v>171179365</v>
      </c>
      <c r="BG928" s="18">
        <f t="shared" si="122"/>
        <v>0</v>
      </c>
      <c r="BH928" s="23"/>
      <c r="BI928" s="14"/>
      <c r="BJ928" s="14"/>
      <c r="BK928" s="14"/>
      <c r="BL928" s="14"/>
      <c r="BM928" s="14"/>
      <c r="BN928" s="14"/>
    </row>
    <row r="929" spans="1:66" ht="15" customHeight="1" x14ac:dyDescent="0.2">
      <c r="A929" s="1">
        <v>8915002692</v>
      </c>
      <c r="B929" s="1">
        <v>891500269</v>
      </c>
      <c r="C929" s="15">
        <v>219819698</v>
      </c>
      <c r="D929" s="16" t="s">
        <v>2113</v>
      </c>
      <c r="E929" s="41" t="s">
        <v>1431</v>
      </c>
      <c r="F929" s="28"/>
      <c r="G929" s="2"/>
      <c r="H929" s="3"/>
      <c r="I929" s="2"/>
      <c r="J929" s="29"/>
      <c r="K929" s="3"/>
      <c r="L929" s="2"/>
      <c r="M929" s="8"/>
      <c r="N929" s="3"/>
      <c r="O929" s="2"/>
      <c r="P929" s="3"/>
      <c r="Q929" s="2"/>
      <c r="R929" s="3"/>
      <c r="S929" s="3"/>
      <c r="T929" s="2"/>
      <c r="U929" s="8">
        <f t="shared" si="117"/>
        <v>0</v>
      </c>
      <c r="V929" s="8"/>
      <c r="W929" s="8"/>
      <c r="X929" s="8"/>
      <c r="Y929" s="8"/>
      <c r="Z929" s="8"/>
      <c r="AA929" s="8"/>
      <c r="AB929" s="8"/>
      <c r="AC929" s="8">
        <f t="shared" si="118"/>
        <v>0</v>
      </c>
      <c r="AD929" s="8"/>
      <c r="AE929" s="8"/>
      <c r="AF929" s="8"/>
      <c r="AG929" s="8"/>
      <c r="AH929" s="8"/>
      <c r="AI929" s="8"/>
      <c r="AJ929" s="8"/>
      <c r="AK929" s="8"/>
      <c r="AL929" s="8"/>
      <c r="AM929" s="8">
        <v>1104593827</v>
      </c>
      <c r="AN929" s="8">
        <f>SUBTOTAL(9,AC929:AM929)</f>
        <v>1104593827</v>
      </c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>
        <v>577079505</v>
      </c>
      <c r="AZ929" s="8"/>
      <c r="BA929" s="8">
        <f>VLOOKUP(B929,[1]Hoja3!J$3:K$674,2,0)</f>
        <v>71279270</v>
      </c>
      <c r="BB929" s="8"/>
      <c r="BC929" s="8">
        <f t="shared" si="119"/>
        <v>1752952602</v>
      </c>
      <c r="BD929" s="4">
        <v>577079505</v>
      </c>
      <c r="BE929" s="4">
        <f t="shared" si="120"/>
        <v>1175873097</v>
      </c>
      <c r="BF929" s="30">
        <f t="shared" si="121"/>
        <v>1752952602</v>
      </c>
      <c r="BG929" s="18">
        <f t="shared" si="122"/>
        <v>0</v>
      </c>
      <c r="BH929" s="23"/>
      <c r="BI929" s="23"/>
      <c r="BJ929" s="23"/>
    </row>
    <row r="930" spans="1:66" ht="15" customHeight="1" x14ac:dyDescent="0.2">
      <c r="A930" s="1">
        <v>8000992620</v>
      </c>
      <c r="B930" s="1">
        <v>800099262</v>
      </c>
      <c r="C930" s="15">
        <v>218054680</v>
      </c>
      <c r="D930" s="16" t="s">
        <v>782</v>
      </c>
      <c r="E930" s="41" t="s">
        <v>1799</v>
      </c>
      <c r="F930" s="28"/>
      <c r="G930" s="2"/>
      <c r="H930" s="3"/>
      <c r="I930" s="2"/>
      <c r="J930" s="29"/>
      <c r="K930" s="3"/>
      <c r="L930" s="2"/>
      <c r="M930" s="8"/>
      <c r="N930" s="3"/>
      <c r="O930" s="2"/>
      <c r="P930" s="3"/>
      <c r="Q930" s="2"/>
      <c r="R930" s="3"/>
      <c r="S930" s="3"/>
      <c r="T930" s="2"/>
      <c r="U930" s="8">
        <f t="shared" si="117"/>
        <v>0</v>
      </c>
      <c r="V930" s="8"/>
      <c r="W930" s="8"/>
      <c r="X930" s="8"/>
      <c r="Y930" s="8"/>
      <c r="Z930" s="8"/>
      <c r="AA930" s="8"/>
      <c r="AB930" s="8"/>
      <c r="AC930" s="8">
        <f t="shared" si="118"/>
        <v>0</v>
      </c>
      <c r="AD930" s="8"/>
      <c r="AE930" s="8"/>
      <c r="AF930" s="8"/>
      <c r="AG930" s="8"/>
      <c r="AH930" s="8"/>
      <c r="AI930" s="8"/>
      <c r="AJ930" s="8"/>
      <c r="AK930" s="8"/>
      <c r="AL930" s="8"/>
      <c r="AM930" s="8">
        <v>30722612</v>
      </c>
      <c r="AN930" s="8">
        <f>SUBTOTAL(9,AC930:AM930)</f>
        <v>30722612</v>
      </c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>
        <v>23438245</v>
      </c>
      <c r="AZ930" s="8"/>
      <c r="BA930" s="8">
        <f>VLOOKUP(B930,[1]Hoja3!J$3:K$674,2,0)</f>
        <v>11046894</v>
      </c>
      <c r="BB930" s="8"/>
      <c r="BC930" s="8">
        <f t="shared" si="119"/>
        <v>65207751</v>
      </c>
      <c r="BD930" s="4">
        <v>23438245</v>
      </c>
      <c r="BE930" s="4">
        <f t="shared" si="120"/>
        <v>41769506</v>
      </c>
      <c r="BF930" s="30">
        <f t="shared" si="121"/>
        <v>65207751</v>
      </c>
      <c r="BG930" s="18">
        <f t="shared" si="122"/>
        <v>0</v>
      </c>
      <c r="BH930" s="23"/>
      <c r="BI930" s="23"/>
      <c r="BJ930" s="23"/>
    </row>
    <row r="931" spans="1:66" ht="15" customHeight="1" x14ac:dyDescent="0.2">
      <c r="A931" s="1">
        <v>8001029068</v>
      </c>
      <c r="B931" s="1">
        <v>800102906</v>
      </c>
      <c r="C931" s="15">
        <v>216086760</v>
      </c>
      <c r="D931" s="16" t="s">
        <v>984</v>
      </c>
      <c r="E931" s="41" t="s">
        <v>2042</v>
      </c>
      <c r="F931" s="28"/>
      <c r="G931" s="17"/>
      <c r="H931" s="3"/>
      <c r="I931" s="2"/>
      <c r="J931" s="29"/>
      <c r="K931" s="3"/>
      <c r="L931" s="17"/>
      <c r="M931" s="34"/>
      <c r="N931" s="3"/>
      <c r="O931" s="17"/>
      <c r="P931" s="3"/>
      <c r="Q931" s="2"/>
      <c r="R931" s="3"/>
      <c r="S931" s="3"/>
      <c r="T931" s="17"/>
      <c r="U931" s="8">
        <f t="shared" si="117"/>
        <v>0</v>
      </c>
      <c r="V931" s="8"/>
      <c r="W931" s="8"/>
      <c r="X931" s="8"/>
      <c r="Y931" s="8"/>
      <c r="Z931" s="8"/>
      <c r="AA931" s="8"/>
      <c r="AB931" s="8"/>
      <c r="AC931" s="8">
        <f t="shared" si="118"/>
        <v>0</v>
      </c>
      <c r="AD931" s="8"/>
      <c r="AE931" s="8"/>
      <c r="AF931" s="8"/>
      <c r="AG931" s="8"/>
      <c r="AH931" s="8"/>
      <c r="AI931" s="8"/>
      <c r="AJ931" s="8"/>
      <c r="AK931" s="8"/>
      <c r="AL931" s="8"/>
      <c r="AM931" s="8">
        <v>104890552</v>
      </c>
      <c r="AN931" s="8">
        <f>SUBTOTAL(9,AC931:AM931)</f>
        <v>104890552</v>
      </c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>
        <v>65874235</v>
      </c>
      <c r="AZ931" s="8"/>
      <c r="BA931" s="8"/>
      <c r="BB931" s="8">
        <f>VLOOKUP(B931,'[2]anuladas en mayo gratuidad}'!K$2:L$55,2,0)</f>
        <v>15650662</v>
      </c>
      <c r="BC931" s="8">
        <f t="shared" si="119"/>
        <v>155114125</v>
      </c>
      <c r="BD931" s="4">
        <v>65874235</v>
      </c>
      <c r="BE931" s="4">
        <f t="shared" si="120"/>
        <v>89239890</v>
      </c>
      <c r="BF931" s="30">
        <f t="shared" si="121"/>
        <v>155114125</v>
      </c>
      <c r="BG931" s="18">
        <f t="shared" si="122"/>
        <v>0</v>
      </c>
      <c r="BH931" s="23"/>
      <c r="BI931" s="14"/>
      <c r="BJ931" s="14"/>
      <c r="BK931" s="14"/>
      <c r="BL931" s="14"/>
      <c r="BM931" s="14"/>
      <c r="BN931" s="14"/>
    </row>
    <row r="932" spans="1:66" ht="15" customHeight="1" x14ac:dyDescent="0.2">
      <c r="A932" s="1">
        <v>8909838034</v>
      </c>
      <c r="B932" s="1">
        <v>890983803</v>
      </c>
      <c r="C932" s="15">
        <v>219005690</v>
      </c>
      <c r="D932" s="16" t="s">
        <v>139</v>
      </c>
      <c r="E932" s="41" t="s">
        <v>1168</v>
      </c>
      <c r="F932" s="28"/>
      <c r="G932" s="2"/>
      <c r="H932" s="3"/>
      <c r="I932" s="2"/>
      <c r="J932" s="29"/>
      <c r="K932" s="3"/>
      <c r="L932" s="2"/>
      <c r="M932" s="8"/>
      <c r="N932" s="3"/>
      <c r="O932" s="2"/>
      <c r="P932" s="3"/>
      <c r="Q932" s="2"/>
      <c r="R932" s="3"/>
      <c r="S932" s="3"/>
      <c r="T932" s="2"/>
      <c r="U932" s="8">
        <f t="shared" si="117"/>
        <v>0</v>
      </c>
      <c r="V932" s="8"/>
      <c r="W932" s="8"/>
      <c r="X932" s="8"/>
      <c r="Y932" s="8"/>
      <c r="Z932" s="8"/>
      <c r="AA932" s="8"/>
      <c r="AB932" s="8"/>
      <c r="AC932" s="8">
        <f t="shared" si="118"/>
        <v>0</v>
      </c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>
        <v>80905060</v>
      </c>
      <c r="AZ932" s="8"/>
      <c r="BA932" s="8">
        <f>VLOOKUP(B932,[1]Hoja3!J$3:K$674,2,0)</f>
        <v>212126486</v>
      </c>
      <c r="BB932" s="8"/>
      <c r="BC932" s="8">
        <f t="shared" si="119"/>
        <v>293031546</v>
      </c>
      <c r="BD932" s="4">
        <v>80905060</v>
      </c>
      <c r="BE932" s="4">
        <f t="shared" si="120"/>
        <v>212126486</v>
      </c>
      <c r="BF932" s="30">
        <f t="shared" si="121"/>
        <v>293031546</v>
      </c>
      <c r="BG932" s="18">
        <f t="shared" si="122"/>
        <v>0</v>
      </c>
      <c r="BH932" s="23"/>
      <c r="BI932" s="23"/>
      <c r="BJ932" s="23"/>
    </row>
    <row r="933" spans="1:66" ht="15" customHeight="1" x14ac:dyDescent="0.2">
      <c r="A933" s="1">
        <v>8001162846</v>
      </c>
      <c r="B933" s="1">
        <v>800116284</v>
      </c>
      <c r="C933" s="15">
        <v>218508685</v>
      </c>
      <c r="D933" s="16" t="s">
        <v>177</v>
      </c>
      <c r="E933" s="41" t="s">
        <v>1206</v>
      </c>
      <c r="F933" s="28"/>
      <c r="G933" s="2"/>
      <c r="H933" s="3"/>
      <c r="I933" s="2"/>
      <c r="J933" s="29"/>
      <c r="K933" s="3"/>
      <c r="L933" s="2"/>
      <c r="M933" s="8"/>
      <c r="N933" s="3"/>
      <c r="O933" s="2"/>
      <c r="P933" s="3"/>
      <c r="Q933" s="2"/>
      <c r="R933" s="3"/>
      <c r="S933" s="3"/>
      <c r="T933" s="2"/>
      <c r="U933" s="8">
        <f t="shared" si="117"/>
        <v>0</v>
      </c>
      <c r="V933" s="8"/>
      <c r="W933" s="8"/>
      <c r="X933" s="8"/>
      <c r="Y933" s="8"/>
      <c r="Z933" s="8"/>
      <c r="AA933" s="8"/>
      <c r="AB933" s="8"/>
      <c r="AC933" s="8">
        <f t="shared" si="118"/>
        <v>0</v>
      </c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>
        <v>141899050</v>
      </c>
      <c r="AZ933" s="8"/>
      <c r="BA933" s="8">
        <f>VLOOKUP(B933,[1]Hoja3!J$3:K$674,2,0)</f>
        <v>304976892</v>
      </c>
      <c r="BB933" s="8"/>
      <c r="BC933" s="8">
        <f t="shared" si="119"/>
        <v>446875942</v>
      </c>
      <c r="BD933" s="4">
        <v>141899050</v>
      </c>
      <c r="BE933" s="4">
        <f t="shared" si="120"/>
        <v>304976892</v>
      </c>
      <c r="BF933" s="30">
        <f t="shared" si="121"/>
        <v>446875942</v>
      </c>
      <c r="BG933" s="18">
        <f t="shared" si="122"/>
        <v>0</v>
      </c>
      <c r="BH933" s="23"/>
      <c r="BI933" s="23"/>
      <c r="BJ933" s="23"/>
    </row>
    <row r="934" spans="1:66" ht="15" customHeight="1" x14ac:dyDescent="0.2">
      <c r="A934" s="1">
        <v>8914800341</v>
      </c>
      <c r="B934" s="1">
        <v>891480034</v>
      </c>
      <c r="C934" s="15">
        <v>218766687</v>
      </c>
      <c r="D934" s="16" t="s">
        <v>811</v>
      </c>
      <c r="E934" s="41" t="s">
        <v>1829</v>
      </c>
      <c r="F934" s="28"/>
      <c r="G934" s="2"/>
      <c r="H934" s="3"/>
      <c r="I934" s="2"/>
      <c r="J934" s="29"/>
      <c r="K934" s="3"/>
      <c r="L934" s="2"/>
      <c r="M934" s="8"/>
      <c r="N934" s="3"/>
      <c r="O934" s="2"/>
      <c r="P934" s="3"/>
      <c r="Q934" s="2"/>
      <c r="R934" s="3"/>
      <c r="S934" s="3"/>
      <c r="T934" s="2"/>
      <c r="U934" s="8">
        <f t="shared" si="117"/>
        <v>0</v>
      </c>
      <c r="V934" s="8"/>
      <c r="W934" s="8"/>
      <c r="X934" s="8"/>
      <c r="Y934" s="8"/>
      <c r="Z934" s="8"/>
      <c r="AA934" s="8"/>
      <c r="AB934" s="8"/>
      <c r="AC934" s="8">
        <f t="shared" si="118"/>
        <v>0</v>
      </c>
      <c r="AD934" s="8"/>
      <c r="AE934" s="8"/>
      <c r="AF934" s="8"/>
      <c r="AG934" s="8"/>
      <c r="AH934" s="8"/>
      <c r="AI934" s="8"/>
      <c r="AJ934" s="8"/>
      <c r="AK934" s="8"/>
      <c r="AL934" s="8"/>
      <c r="AM934" s="8">
        <v>164772619</v>
      </c>
      <c r="AN934" s="8">
        <f>SUBTOTAL(9,AC934:AM934)</f>
        <v>164772619</v>
      </c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>
        <v>94834080</v>
      </c>
      <c r="AZ934" s="8"/>
      <c r="BA934" s="8"/>
      <c r="BB934" s="8"/>
      <c r="BC934" s="8">
        <f t="shared" si="119"/>
        <v>259606699</v>
      </c>
      <c r="BD934" s="4">
        <v>94834080</v>
      </c>
      <c r="BE934" s="4">
        <f t="shared" si="120"/>
        <v>164772619</v>
      </c>
      <c r="BF934" s="30">
        <f t="shared" si="121"/>
        <v>259606699</v>
      </c>
      <c r="BG934" s="18">
        <f t="shared" si="122"/>
        <v>0</v>
      </c>
      <c r="BH934" s="23"/>
      <c r="BI934" s="23"/>
      <c r="BJ934" s="23"/>
    </row>
    <row r="935" spans="1:66" ht="15" customHeight="1" x14ac:dyDescent="0.2">
      <c r="A935" s="1">
        <v>8000991496</v>
      </c>
      <c r="B935" s="1">
        <v>800099149</v>
      </c>
      <c r="C935" s="15">
        <v>212052720</v>
      </c>
      <c r="D935" s="16" t="s">
        <v>746</v>
      </c>
      <c r="E935" s="41" t="s">
        <v>1767</v>
      </c>
      <c r="F935" s="28"/>
      <c r="G935" s="2"/>
      <c r="H935" s="3"/>
      <c r="I935" s="2"/>
      <c r="J935" s="29"/>
      <c r="K935" s="3"/>
      <c r="L935" s="2"/>
      <c r="M935" s="8"/>
      <c r="N935" s="3"/>
      <c r="O935" s="2"/>
      <c r="P935" s="3"/>
      <c r="Q935" s="2"/>
      <c r="R935" s="3"/>
      <c r="S935" s="3"/>
      <c r="T935" s="2"/>
      <c r="U935" s="8">
        <f t="shared" si="117"/>
        <v>0</v>
      </c>
      <c r="V935" s="8"/>
      <c r="W935" s="8"/>
      <c r="X935" s="8"/>
      <c r="Y935" s="8"/>
      <c r="Z935" s="8"/>
      <c r="AA935" s="8"/>
      <c r="AB935" s="8"/>
      <c r="AC935" s="8">
        <f t="shared" si="118"/>
        <v>0</v>
      </c>
      <c r="AD935" s="8"/>
      <c r="AE935" s="8"/>
      <c r="AF935" s="8"/>
      <c r="AG935" s="8"/>
      <c r="AH935" s="8"/>
      <c r="AI935" s="8"/>
      <c r="AJ935" s="8"/>
      <c r="AK935" s="8"/>
      <c r="AL935" s="8"/>
      <c r="AM935" s="8">
        <v>87955515</v>
      </c>
      <c r="AN935" s="8">
        <f>SUBTOTAL(9,AC935:AM935)</f>
        <v>87955515</v>
      </c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>
        <v>40287955</v>
      </c>
      <c r="AZ935" s="8"/>
      <c r="BA935" s="8"/>
      <c r="BB935" s="8"/>
      <c r="BC935" s="8">
        <f t="shared" si="119"/>
        <v>128243470</v>
      </c>
      <c r="BD935" s="4">
        <v>40287955</v>
      </c>
      <c r="BE935" s="4">
        <f t="shared" si="120"/>
        <v>87955515</v>
      </c>
      <c r="BF935" s="30">
        <f t="shared" si="121"/>
        <v>128243470</v>
      </c>
      <c r="BG935" s="18">
        <f t="shared" si="122"/>
        <v>0</v>
      </c>
      <c r="BH935" s="23"/>
      <c r="BI935" s="23"/>
      <c r="BJ935" s="23"/>
    </row>
    <row r="936" spans="1:66" ht="15" customHeight="1" x14ac:dyDescent="0.2">
      <c r="A936" s="1">
        <v>8001027996</v>
      </c>
      <c r="B936" s="1">
        <v>800102799</v>
      </c>
      <c r="C936" s="15">
        <v>213681736</v>
      </c>
      <c r="D936" s="16" t="s">
        <v>953</v>
      </c>
      <c r="E936" s="41" t="s">
        <v>2014</v>
      </c>
      <c r="F936" s="28"/>
      <c r="G936" s="2"/>
      <c r="H936" s="3"/>
      <c r="I936" s="2"/>
      <c r="J936" s="29"/>
      <c r="K936" s="3"/>
      <c r="L936" s="2"/>
      <c r="M936" s="8"/>
      <c r="N936" s="3"/>
      <c r="O936" s="2"/>
      <c r="P936" s="3"/>
      <c r="Q936" s="2"/>
      <c r="R936" s="3"/>
      <c r="S936" s="3"/>
      <c r="T936" s="2"/>
      <c r="U936" s="8">
        <f t="shared" si="117"/>
        <v>0</v>
      </c>
      <c r="V936" s="8"/>
      <c r="W936" s="8"/>
      <c r="X936" s="8"/>
      <c r="Y936" s="8"/>
      <c r="Z936" s="8"/>
      <c r="AA936" s="8"/>
      <c r="AB936" s="8"/>
      <c r="AC936" s="8">
        <f t="shared" si="118"/>
        <v>0</v>
      </c>
      <c r="AD936" s="8"/>
      <c r="AE936" s="8"/>
      <c r="AF936" s="8"/>
      <c r="AG936" s="8"/>
      <c r="AH936" s="8"/>
      <c r="AI936" s="8"/>
      <c r="AJ936" s="8"/>
      <c r="AK936" s="8"/>
      <c r="AL936" s="8"/>
      <c r="AM936" s="8">
        <v>33564664</v>
      </c>
      <c r="AN936" s="8">
        <f>SUBTOTAL(9,AC936:AM936)</f>
        <v>33564664</v>
      </c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>
        <v>363522455</v>
      </c>
      <c r="AZ936" s="8"/>
      <c r="BA936" s="8">
        <f>VLOOKUP(B936,[1]Hoja3!J$3:K$674,2,0)</f>
        <v>821689166</v>
      </c>
      <c r="BB936" s="8"/>
      <c r="BC936" s="8">
        <f t="shared" si="119"/>
        <v>1218776285</v>
      </c>
      <c r="BD936" s="4">
        <v>363522455</v>
      </c>
      <c r="BE936" s="4">
        <f t="shared" si="120"/>
        <v>855253830</v>
      </c>
      <c r="BF936" s="30">
        <f t="shared" si="121"/>
        <v>1218776285</v>
      </c>
      <c r="BG936" s="18">
        <f t="shared" si="122"/>
        <v>0</v>
      </c>
      <c r="BH936" s="23"/>
      <c r="BI936" s="23"/>
      <c r="BJ936" s="23"/>
    </row>
    <row r="937" spans="1:66" ht="15" customHeight="1" x14ac:dyDescent="0.2">
      <c r="A937" s="1">
        <v>8000992638</v>
      </c>
      <c r="B937" s="1">
        <v>800099263</v>
      </c>
      <c r="C937" s="15">
        <v>212054720</v>
      </c>
      <c r="D937" s="16" t="s">
        <v>783</v>
      </c>
      <c r="E937" s="41" t="s">
        <v>1800</v>
      </c>
      <c r="F937" s="28"/>
      <c r="G937" s="2"/>
      <c r="H937" s="3"/>
      <c r="I937" s="2"/>
      <c r="J937" s="29"/>
      <c r="K937" s="3"/>
      <c r="L937" s="2"/>
      <c r="M937" s="8"/>
      <c r="N937" s="3"/>
      <c r="O937" s="2"/>
      <c r="P937" s="3"/>
      <c r="Q937" s="2"/>
      <c r="R937" s="3"/>
      <c r="S937" s="3"/>
      <c r="T937" s="2"/>
      <c r="U937" s="8">
        <f t="shared" si="117"/>
        <v>0</v>
      </c>
      <c r="V937" s="8"/>
      <c r="W937" s="8"/>
      <c r="X937" s="8"/>
      <c r="Y937" s="8"/>
      <c r="Z937" s="8"/>
      <c r="AA937" s="8"/>
      <c r="AB937" s="8"/>
      <c r="AC937" s="8">
        <f t="shared" si="118"/>
        <v>0</v>
      </c>
      <c r="AD937" s="8"/>
      <c r="AE937" s="8"/>
      <c r="AF937" s="8"/>
      <c r="AG937" s="8"/>
      <c r="AH937" s="8"/>
      <c r="AI937" s="8"/>
      <c r="AJ937" s="8"/>
      <c r="AK937" s="8"/>
      <c r="AL937" s="8"/>
      <c r="AM937" s="8">
        <v>33270385</v>
      </c>
      <c r="AN937" s="8">
        <f>SUBTOTAL(9,AC937:AM937)</f>
        <v>33270385</v>
      </c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>
        <f>VLOOKUP(B937,[1]Hoja3!J$3:K$674,2,0)</f>
        <v>199273741</v>
      </c>
      <c r="BB937" s="8"/>
      <c r="BC937" s="8">
        <f t="shared" si="119"/>
        <v>232544126</v>
      </c>
      <c r="BD937" s="4"/>
      <c r="BE937" s="4">
        <f t="shared" si="120"/>
        <v>232544126</v>
      </c>
      <c r="BF937" s="30">
        <f t="shared" si="121"/>
        <v>232544126</v>
      </c>
      <c r="BG937" s="18">
        <f t="shared" si="122"/>
        <v>0</v>
      </c>
      <c r="BH937" s="23"/>
      <c r="BI937" s="23"/>
      <c r="BJ937" s="23"/>
    </row>
    <row r="938" spans="1:66" ht="15" customHeight="1" x14ac:dyDescent="0.2">
      <c r="A938" s="1">
        <v>8000947525</v>
      </c>
      <c r="B938" s="1">
        <v>800094752</v>
      </c>
      <c r="C938" s="15">
        <v>211825718</v>
      </c>
      <c r="D938" s="16" t="s">
        <v>534</v>
      </c>
      <c r="E938" s="41" t="s">
        <v>1560</v>
      </c>
      <c r="F938" s="28"/>
      <c r="G938" s="2"/>
      <c r="H938" s="3"/>
      <c r="I938" s="2"/>
      <c r="J938" s="29"/>
      <c r="K938" s="3"/>
      <c r="L938" s="2"/>
      <c r="M938" s="8"/>
      <c r="N938" s="3"/>
      <c r="O938" s="2"/>
      <c r="P938" s="3"/>
      <c r="Q938" s="2"/>
      <c r="R938" s="3"/>
      <c r="S938" s="3"/>
      <c r="T938" s="2"/>
      <c r="U938" s="8">
        <f t="shared" si="117"/>
        <v>0</v>
      </c>
      <c r="V938" s="8"/>
      <c r="W938" s="8"/>
      <c r="X938" s="8"/>
      <c r="Y938" s="8"/>
      <c r="Z938" s="8"/>
      <c r="AA938" s="8"/>
      <c r="AB938" s="8"/>
      <c r="AC938" s="8">
        <f t="shared" si="118"/>
        <v>0</v>
      </c>
      <c r="AD938" s="8"/>
      <c r="AE938" s="8"/>
      <c r="AF938" s="8"/>
      <c r="AG938" s="8"/>
      <c r="AH938" s="8"/>
      <c r="AI938" s="8"/>
      <c r="AJ938" s="8"/>
      <c r="AK938" s="8"/>
      <c r="AL938" s="8"/>
      <c r="AM938" s="8">
        <v>168838655</v>
      </c>
      <c r="AN938" s="8">
        <f>SUBTOTAL(9,AC938:AM938)</f>
        <v>168838655</v>
      </c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>
        <v>77866430</v>
      </c>
      <c r="AZ938" s="8"/>
      <c r="BA938" s="8"/>
      <c r="BB938" s="8"/>
      <c r="BC938" s="8">
        <f t="shared" si="119"/>
        <v>246705085</v>
      </c>
      <c r="BD938" s="4">
        <v>77866430</v>
      </c>
      <c r="BE938" s="4">
        <f t="shared" si="120"/>
        <v>168838655</v>
      </c>
      <c r="BF938" s="30">
        <f t="shared" si="121"/>
        <v>246705085</v>
      </c>
      <c r="BG938" s="18">
        <f t="shared" si="122"/>
        <v>0</v>
      </c>
      <c r="BH938" s="23"/>
      <c r="BI938" s="23"/>
      <c r="BJ938" s="23"/>
    </row>
    <row r="939" spans="1:66" ht="15" customHeight="1" x14ac:dyDescent="0.2">
      <c r="A939" s="1">
        <v>8000507913</v>
      </c>
      <c r="B939" s="1">
        <v>800050791</v>
      </c>
      <c r="C939" s="15">
        <v>212015720</v>
      </c>
      <c r="D939" s="16" t="s">
        <v>305</v>
      </c>
      <c r="E939" s="41" t="s">
        <v>1337</v>
      </c>
      <c r="F939" s="28"/>
      <c r="G939" s="17"/>
      <c r="H939" s="3"/>
      <c r="I939" s="2"/>
      <c r="J939" s="29"/>
      <c r="K939" s="3"/>
      <c r="L939" s="17"/>
      <c r="M939" s="34"/>
      <c r="N939" s="3"/>
      <c r="O939" s="17"/>
      <c r="P939" s="3"/>
      <c r="Q939" s="2"/>
      <c r="R939" s="3"/>
      <c r="S939" s="3"/>
      <c r="T939" s="17"/>
      <c r="U939" s="8">
        <f t="shared" si="117"/>
        <v>0</v>
      </c>
      <c r="V939" s="8"/>
      <c r="W939" s="8"/>
      <c r="X939" s="8"/>
      <c r="Y939" s="8"/>
      <c r="Z939" s="8"/>
      <c r="AA939" s="8"/>
      <c r="AB939" s="8"/>
      <c r="AC939" s="8">
        <f t="shared" si="118"/>
        <v>0</v>
      </c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>
        <v>18061560</v>
      </c>
      <c r="AZ939" s="8"/>
      <c r="BA939" s="8">
        <f>VLOOKUP(B939,[1]Hoja3!J$3:K$674,2,0)</f>
        <v>28378697</v>
      </c>
      <c r="BB939" s="8"/>
      <c r="BC939" s="8">
        <f t="shared" si="119"/>
        <v>46440257</v>
      </c>
      <c r="BD939" s="4">
        <v>18061560</v>
      </c>
      <c r="BE939" s="4">
        <f t="shared" si="120"/>
        <v>28378697</v>
      </c>
      <c r="BF939" s="30">
        <f t="shared" si="121"/>
        <v>46440257</v>
      </c>
      <c r="BG939" s="18">
        <f t="shared" si="122"/>
        <v>0</v>
      </c>
      <c r="BH939" s="23"/>
      <c r="BI939" s="14"/>
      <c r="BJ939" s="14"/>
      <c r="BK939" s="14"/>
      <c r="BL939" s="14"/>
      <c r="BM939" s="14"/>
      <c r="BN939" s="14"/>
    </row>
    <row r="940" spans="1:66" ht="15" customHeight="1" x14ac:dyDescent="0.2">
      <c r="A940" s="1">
        <v>8000994412</v>
      </c>
      <c r="B940" s="1">
        <v>800099441</v>
      </c>
      <c r="C940" s="15">
        <v>212315723</v>
      </c>
      <c r="D940" s="16" t="s">
        <v>306</v>
      </c>
      <c r="E940" s="41" t="s">
        <v>1338</v>
      </c>
      <c r="F940" s="28"/>
      <c r="G940" s="17"/>
      <c r="H940" s="3"/>
      <c r="I940" s="2"/>
      <c r="J940" s="29"/>
      <c r="K940" s="3"/>
      <c r="L940" s="17"/>
      <c r="M940" s="34"/>
      <c r="N940" s="3"/>
      <c r="O940" s="17"/>
      <c r="P940" s="3"/>
      <c r="Q940" s="2"/>
      <c r="R940" s="3"/>
      <c r="S940" s="3"/>
      <c r="T940" s="17"/>
      <c r="U940" s="8">
        <f t="shared" si="117"/>
        <v>0</v>
      </c>
      <c r="V940" s="8"/>
      <c r="W940" s="8"/>
      <c r="X940" s="8"/>
      <c r="Y940" s="8"/>
      <c r="Z940" s="8"/>
      <c r="AA940" s="8"/>
      <c r="AB940" s="8"/>
      <c r="AC940" s="8">
        <f t="shared" si="118"/>
        <v>0</v>
      </c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>
        <f>VLOOKUP(B940,[1]Hoja3!J$3:K$674,2,0)</f>
        <v>17252572</v>
      </c>
      <c r="BB940" s="8"/>
      <c r="BC940" s="8">
        <f t="shared" si="119"/>
        <v>17252572</v>
      </c>
      <c r="BD940" s="4"/>
      <c r="BE940" s="4">
        <f t="shared" si="120"/>
        <v>17252572</v>
      </c>
      <c r="BF940" s="30">
        <f t="shared" si="121"/>
        <v>17252572</v>
      </c>
      <c r="BG940" s="18">
        <f t="shared" si="122"/>
        <v>0</v>
      </c>
      <c r="BH940" s="23"/>
      <c r="BI940" s="14"/>
      <c r="BJ940" s="14"/>
      <c r="BK940" s="14"/>
      <c r="BL940" s="14"/>
      <c r="BM940" s="14"/>
      <c r="BN940" s="14"/>
    </row>
    <row r="941" spans="1:66" ht="15" customHeight="1" x14ac:dyDescent="0.2">
      <c r="A941" s="1">
        <v>8909813912</v>
      </c>
      <c r="B941" s="1">
        <v>890981391</v>
      </c>
      <c r="C941" s="15">
        <v>213605736</v>
      </c>
      <c r="D941" s="16" t="s">
        <v>141</v>
      </c>
      <c r="E941" s="41" t="s">
        <v>1170</v>
      </c>
      <c r="F941" s="28"/>
      <c r="G941" s="2"/>
      <c r="H941" s="3"/>
      <c r="I941" s="2"/>
      <c r="J941" s="29"/>
      <c r="K941" s="3"/>
      <c r="L941" s="2"/>
      <c r="M941" s="8"/>
      <c r="N941" s="3"/>
      <c r="O941" s="2"/>
      <c r="P941" s="3"/>
      <c r="Q941" s="2"/>
      <c r="R941" s="3"/>
      <c r="S941" s="3"/>
      <c r="T941" s="2"/>
      <c r="U941" s="8">
        <f t="shared" si="117"/>
        <v>0</v>
      </c>
      <c r="V941" s="8"/>
      <c r="W941" s="8"/>
      <c r="X941" s="8"/>
      <c r="Y941" s="8"/>
      <c r="Z941" s="8"/>
      <c r="AA941" s="8"/>
      <c r="AB941" s="8"/>
      <c r="AC941" s="8">
        <f t="shared" si="118"/>
        <v>0</v>
      </c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>
        <v>247571115</v>
      </c>
      <c r="AZ941" s="8"/>
      <c r="BA941" s="8">
        <f>VLOOKUP(B941,[1]Hoja3!J$3:K$674,2,0)</f>
        <v>502889898</v>
      </c>
      <c r="BB941" s="8"/>
      <c r="BC941" s="8">
        <f t="shared" si="119"/>
        <v>750461013</v>
      </c>
      <c r="BD941" s="4">
        <v>247571115</v>
      </c>
      <c r="BE941" s="4">
        <f t="shared" si="120"/>
        <v>502889898</v>
      </c>
      <c r="BF941" s="30">
        <f t="shared" si="121"/>
        <v>750461013</v>
      </c>
      <c r="BG941" s="18">
        <f t="shared" si="122"/>
        <v>0</v>
      </c>
      <c r="BH941" s="23"/>
      <c r="BI941" s="23"/>
      <c r="BJ941" s="23"/>
    </row>
    <row r="942" spans="1:66" ht="15" customHeight="1" x14ac:dyDescent="0.2">
      <c r="A942" s="1">
        <v>8999994152</v>
      </c>
      <c r="B942" s="1">
        <v>899999415</v>
      </c>
      <c r="C942" s="15">
        <v>213625736</v>
      </c>
      <c r="D942" s="16" t="s">
        <v>535</v>
      </c>
      <c r="E942" s="41" t="s">
        <v>1561</v>
      </c>
      <c r="F942" s="28"/>
      <c r="G942" s="2"/>
      <c r="H942" s="3"/>
      <c r="I942" s="2"/>
      <c r="J942" s="29"/>
      <c r="K942" s="3"/>
      <c r="L942" s="2"/>
      <c r="M942" s="8"/>
      <c r="N942" s="3"/>
      <c r="O942" s="2"/>
      <c r="P942" s="3"/>
      <c r="Q942" s="2"/>
      <c r="R942" s="3"/>
      <c r="S942" s="3"/>
      <c r="T942" s="2"/>
      <c r="U942" s="8">
        <f t="shared" si="117"/>
        <v>0</v>
      </c>
      <c r="V942" s="8"/>
      <c r="W942" s="8"/>
      <c r="X942" s="8"/>
      <c r="Y942" s="8"/>
      <c r="Z942" s="8"/>
      <c r="AA942" s="8"/>
      <c r="AB942" s="8"/>
      <c r="AC942" s="8">
        <f t="shared" si="118"/>
        <v>0</v>
      </c>
      <c r="AD942" s="8"/>
      <c r="AE942" s="8"/>
      <c r="AF942" s="8"/>
      <c r="AG942" s="8"/>
      <c r="AH942" s="8"/>
      <c r="AI942" s="8"/>
      <c r="AJ942" s="8"/>
      <c r="AK942" s="8"/>
      <c r="AL942" s="8"/>
      <c r="AM942" s="8">
        <v>167762183</v>
      </c>
      <c r="AN942" s="8">
        <f t="shared" ref="AN942:AN949" si="123">SUBTOTAL(9,AC942:AM942)</f>
        <v>167762183</v>
      </c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>
        <v>62950010</v>
      </c>
      <c r="AZ942" s="8"/>
      <c r="BA942" s="8"/>
      <c r="BB942" s="8"/>
      <c r="BC942" s="8">
        <f t="shared" si="119"/>
        <v>230712193</v>
      </c>
      <c r="BD942" s="4">
        <v>62950010</v>
      </c>
      <c r="BE942" s="4">
        <f t="shared" si="120"/>
        <v>167762183</v>
      </c>
      <c r="BF942" s="30">
        <f t="shared" si="121"/>
        <v>230712193</v>
      </c>
      <c r="BG942" s="18">
        <f t="shared" si="122"/>
        <v>0</v>
      </c>
      <c r="BH942" s="23"/>
      <c r="BI942" s="23"/>
      <c r="BJ942" s="23"/>
    </row>
    <row r="943" spans="1:66" ht="15" customHeight="1" x14ac:dyDescent="0.2">
      <c r="A943" s="1">
        <v>8001005270</v>
      </c>
      <c r="B943" s="1">
        <v>800100527</v>
      </c>
      <c r="C943" s="15">
        <v>213676736</v>
      </c>
      <c r="D943" s="16" t="s">
        <v>939</v>
      </c>
      <c r="E943" s="41" t="s">
        <v>2000</v>
      </c>
      <c r="F943" s="28"/>
      <c r="G943" s="2"/>
      <c r="H943" s="3"/>
      <c r="I943" s="2"/>
      <c r="J943" s="29"/>
      <c r="K943" s="3"/>
      <c r="L943" s="2"/>
      <c r="M943" s="8"/>
      <c r="N943" s="3"/>
      <c r="O943" s="2"/>
      <c r="P943" s="3"/>
      <c r="Q943" s="2"/>
      <c r="R943" s="3"/>
      <c r="S943" s="3"/>
      <c r="T943" s="2"/>
      <c r="U943" s="8">
        <f t="shared" si="117"/>
        <v>0</v>
      </c>
      <c r="V943" s="8"/>
      <c r="W943" s="8"/>
      <c r="X943" s="8"/>
      <c r="Y943" s="8"/>
      <c r="Z943" s="8"/>
      <c r="AA943" s="8"/>
      <c r="AB943" s="8"/>
      <c r="AC943" s="8">
        <f t="shared" si="118"/>
        <v>0</v>
      </c>
      <c r="AD943" s="8"/>
      <c r="AE943" s="8"/>
      <c r="AF943" s="8"/>
      <c r="AG943" s="8"/>
      <c r="AH943" s="8"/>
      <c r="AI943" s="8"/>
      <c r="AJ943" s="8"/>
      <c r="AK943" s="8"/>
      <c r="AL943" s="8"/>
      <c r="AM943" s="8">
        <v>47482991</v>
      </c>
      <c r="AN943" s="8">
        <f t="shared" si="123"/>
        <v>47482991</v>
      </c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>
        <v>295298695</v>
      </c>
      <c r="AZ943" s="8"/>
      <c r="BA943" s="8">
        <f>VLOOKUP(B943,[1]Hoja3!J$3:K$674,2,0)</f>
        <v>386807411</v>
      </c>
      <c r="BB943" s="8"/>
      <c r="BC943" s="8">
        <f t="shared" si="119"/>
        <v>729589097</v>
      </c>
      <c r="BD943" s="4">
        <v>295298695</v>
      </c>
      <c r="BE943" s="4">
        <f t="shared" si="120"/>
        <v>434290402</v>
      </c>
      <c r="BF943" s="30">
        <f t="shared" si="121"/>
        <v>729589097</v>
      </c>
      <c r="BG943" s="18">
        <f t="shared" si="122"/>
        <v>0</v>
      </c>
      <c r="BH943" s="23"/>
      <c r="BI943" s="23"/>
      <c r="BJ943" s="23"/>
    </row>
    <row r="944" spans="1:66" ht="15" customHeight="1" x14ac:dyDescent="0.2">
      <c r="A944" s="1">
        <v>8918019115</v>
      </c>
      <c r="B944" s="1">
        <v>891801911</v>
      </c>
      <c r="C944" s="15">
        <v>214015740</v>
      </c>
      <c r="D944" s="16" t="s">
        <v>307</v>
      </c>
      <c r="E944" s="41" t="s">
        <v>1339</v>
      </c>
      <c r="F944" s="28"/>
      <c r="G944" s="17"/>
      <c r="H944" s="3"/>
      <c r="I944" s="2"/>
      <c r="J944" s="29"/>
      <c r="K944" s="3"/>
      <c r="L944" s="17"/>
      <c r="M944" s="34"/>
      <c r="N944" s="3"/>
      <c r="O944" s="17"/>
      <c r="P944" s="3"/>
      <c r="Q944" s="2"/>
      <c r="R944" s="3"/>
      <c r="S944" s="3"/>
      <c r="T944" s="17"/>
      <c r="U944" s="8">
        <f t="shared" si="117"/>
        <v>0</v>
      </c>
      <c r="V944" s="8"/>
      <c r="W944" s="8"/>
      <c r="X944" s="8"/>
      <c r="Y944" s="8"/>
      <c r="Z944" s="8"/>
      <c r="AA944" s="8"/>
      <c r="AB944" s="8"/>
      <c r="AC944" s="8">
        <f t="shared" si="118"/>
        <v>0</v>
      </c>
      <c r="AD944" s="8"/>
      <c r="AE944" s="8"/>
      <c r="AF944" s="8"/>
      <c r="AG944" s="8"/>
      <c r="AH944" s="8"/>
      <c r="AI944" s="8"/>
      <c r="AJ944" s="8"/>
      <c r="AK944" s="8"/>
      <c r="AL944" s="8"/>
      <c r="AM944" s="8">
        <v>22127094</v>
      </c>
      <c r="AN944" s="8">
        <f t="shared" si="123"/>
        <v>22127094</v>
      </c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>
        <v>75745700</v>
      </c>
      <c r="AZ944" s="8"/>
      <c r="BA944" s="8">
        <f>VLOOKUP(B944,[1]Hoja3!J$3:K$674,2,0)</f>
        <v>118751760</v>
      </c>
      <c r="BB944" s="8"/>
      <c r="BC944" s="8">
        <f t="shared" si="119"/>
        <v>216624554</v>
      </c>
      <c r="BD944" s="4">
        <v>75745700</v>
      </c>
      <c r="BE944" s="4">
        <f t="shared" si="120"/>
        <v>140878854</v>
      </c>
      <c r="BF944" s="30">
        <f t="shared" si="121"/>
        <v>216624554</v>
      </c>
      <c r="BG944" s="18">
        <f t="shared" si="122"/>
        <v>0</v>
      </c>
      <c r="BH944" s="23"/>
      <c r="BI944" s="14"/>
      <c r="BJ944" s="14"/>
      <c r="BK944" s="14"/>
      <c r="BL944" s="14"/>
      <c r="BM944" s="14"/>
      <c r="BN944" s="14"/>
    </row>
    <row r="945" spans="1:66" ht="15" customHeight="1" x14ac:dyDescent="0.2">
      <c r="A945" s="1">
        <v>8999993724</v>
      </c>
      <c r="B945" s="1">
        <v>899999372</v>
      </c>
      <c r="C945" s="15">
        <v>214025740</v>
      </c>
      <c r="D945" s="16" t="s">
        <v>536</v>
      </c>
      <c r="E945" s="41" t="s">
        <v>1562</v>
      </c>
      <c r="F945" s="28"/>
      <c r="G945" s="2"/>
      <c r="H945" s="3"/>
      <c r="I945" s="2"/>
      <c r="J945" s="29"/>
      <c r="K945" s="3"/>
      <c r="L945" s="2"/>
      <c r="M945" s="8"/>
      <c r="N945" s="3"/>
      <c r="O945" s="2"/>
      <c r="P945" s="3"/>
      <c r="Q945" s="2"/>
      <c r="R945" s="3"/>
      <c r="S945" s="3"/>
      <c r="T945" s="2"/>
      <c r="U945" s="8">
        <f t="shared" si="117"/>
        <v>0</v>
      </c>
      <c r="V945" s="8"/>
      <c r="W945" s="8"/>
      <c r="X945" s="8"/>
      <c r="Y945" s="8"/>
      <c r="Z945" s="8"/>
      <c r="AA945" s="8"/>
      <c r="AB945" s="8"/>
      <c r="AC945" s="8">
        <f t="shared" si="118"/>
        <v>0</v>
      </c>
      <c r="AD945" s="8"/>
      <c r="AE945" s="8"/>
      <c r="AF945" s="8"/>
      <c r="AG945" s="8"/>
      <c r="AH945" s="8"/>
      <c r="AI945" s="8"/>
      <c r="AJ945" s="8"/>
      <c r="AK945" s="8"/>
      <c r="AL945" s="8"/>
      <c r="AM945" s="8">
        <v>361674615</v>
      </c>
      <c r="AN945" s="8">
        <f t="shared" si="123"/>
        <v>361674615</v>
      </c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>
        <f t="shared" si="119"/>
        <v>361674615</v>
      </c>
      <c r="BD945" s="4"/>
      <c r="BE945" s="4">
        <f t="shared" si="120"/>
        <v>361674615</v>
      </c>
      <c r="BF945" s="30">
        <f t="shared" si="121"/>
        <v>361674615</v>
      </c>
      <c r="BG945" s="18">
        <f t="shared" si="122"/>
        <v>0</v>
      </c>
      <c r="BH945" s="23"/>
      <c r="BI945" s="23"/>
      <c r="BJ945" s="23"/>
    </row>
    <row r="946" spans="1:66" ht="15" customHeight="1" x14ac:dyDescent="0.2">
      <c r="A946" s="1">
        <v>8912016456</v>
      </c>
      <c r="B946" s="1">
        <v>891201645</v>
      </c>
      <c r="C946" s="15">
        <v>214986749</v>
      </c>
      <c r="D946" s="16" t="s">
        <v>981</v>
      </c>
      <c r="E946" s="41" t="s">
        <v>2039</v>
      </c>
      <c r="F946" s="28"/>
      <c r="G946" s="2"/>
      <c r="H946" s="3"/>
      <c r="I946" s="2"/>
      <c r="J946" s="29"/>
      <c r="K946" s="3"/>
      <c r="L946" s="2"/>
      <c r="M946" s="8"/>
      <c r="N946" s="3"/>
      <c r="O946" s="2"/>
      <c r="P946" s="3"/>
      <c r="Q946" s="2"/>
      <c r="R946" s="3"/>
      <c r="S946" s="3"/>
      <c r="T946" s="2"/>
      <c r="U946" s="8">
        <f t="shared" si="117"/>
        <v>0</v>
      </c>
      <c r="V946" s="8"/>
      <c r="W946" s="8"/>
      <c r="X946" s="8"/>
      <c r="Y946" s="8"/>
      <c r="Z946" s="8"/>
      <c r="AA946" s="8"/>
      <c r="AB946" s="8"/>
      <c r="AC946" s="8">
        <f t="shared" si="118"/>
        <v>0</v>
      </c>
      <c r="AD946" s="8"/>
      <c r="AE946" s="8"/>
      <c r="AF946" s="8"/>
      <c r="AG946" s="8"/>
      <c r="AH946" s="8"/>
      <c r="AI946" s="8"/>
      <c r="AJ946" s="8"/>
      <c r="AK946" s="8"/>
      <c r="AL946" s="8"/>
      <c r="AM946" s="8">
        <v>257597742</v>
      </c>
      <c r="AN946" s="8">
        <f t="shared" si="123"/>
        <v>257597742</v>
      </c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>
        <v>113161110</v>
      </c>
      <c r="AZ946" s="8"/>
      <c r="BA946" s="8"/>
      <c r="BB946" s="8"/>
      <c r="BC946" s="8">
        <f t="shared" si="119"/>
        <v>370758852</v>
      </c>
      <c r="BD946" s="4">
        <v>113161110</v>
      </c>
      <c r="BE946" s="4">
        <f t="shared" si="120"/>
        <v>257597742</v>
      </c>
      <c r="BF946" s="30">
        <f t="shared" si="121"/>
        <v>370758852</v>
      </c>
      <c r="BG946" s="18">
        <f t="shared" si="122"/>
        <v>0</v>
      </c>
      <c r="BH946" s="23"/>
      <c r="BI946" s="23"/>
      <c r="BJ946" s="23"/>
    </row>
    <row r="947" spans="1:66" ht="15" customHeight="1" x14ac:dyDescent="0.2">
      <c r="A947" s="1">
        <v>8905061286</v>
      </c>
      <c r="B947" s="1">
        <v>890506128</v>
      </c>
      <c r="C947" s="15">
        <v>214354743</v>
      </c>
      <c r="D947" s="16" t="s">
        <v>784</v>
      </c>
      <c r="E947" s="41" t="s">
        <v>1801</v>
      </c>
      <c r="F947" s="28"/>
      <c r="G947" s="2"/>
      <c r="H947" s="3"/>
      <c r="I947" s="2"/>
      <c r="J947" s="29"/>
      <c r="K947" s="3"/>
      <c r="L947" s="2"/>
      <c r="M947" s="8"/>
      <c r="N947" s="3"/>
      <c r="O947" s="2"/>
      <c r="P947" s="3"/>
      <c r="Q947" s="2"/>
      <c r="R947" s="3"/>
      <c r="S947" s="3"/>
      <c r="T947" s="2"/>
      <c r="U947" s="8">
        <f t="shared" si="117"/>
        <v>0</v>
      </c>
      <c r="V947" s="8"/>
      <c r="W947" s="8"/>
      <c r="X947" s="8"/>
      <c r="Y947" s="8"/>
      <c r="Z947" s="8"/>
      <c r="AA947" s="8"/>
      <c r="AB947" s="8"/>
      <c r="AC947" s="8">
        <f t="shared" si="118"/>
        <v>0</v>
      </c>
      <c r="AD947" s="8"/>
      <c r="AE947" s="8"/>
      <c r="AF947" s="8"/>
      <c r="AG947" s="8"/>
      <c r="AH947" s="8"/>
      <c r="AI947" s="8"/>
      <c r="AJ947" s="8"/>
      <c r="AK947" s="8"/>
      <c r="AL947" s="8"/>
      <c r="AM947" s="8">
        <v>24340853</v>
      </c>
      <c r="AN947" s="8">
        <f t="shared" si="123"/>
        <v>24340853</v>
      </c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>
        <v>44710940</v>
      </c>
      <c r="AZ947" s="8"/>
      <c r="BA947" s="8">
        <f>VLOOKUP(B947,[1]Hoja3!J$3:K$674,2,0)</f>
        <v>67584600</v>
      </c>
      <c r="BB947" s="8"/>
      <c r="BC947" s="8">
        <f t="shared" si="119"/>
        <v>136636393</v>
      </c>
      <c r="BD947" s="4">
        <v>44710940</v>
      </c>
      <c r="BE947" s="4">
        <f t="shared" si="120"/>
        <v>91925453</v>
      </c>
      <c r="BF947" s="30">
        <f t="shared" si="121"/>
        <v>136636393</v>
      </c>
      <c r="BG947" s="18">
        <f t="shared" si="122"/>
        <v>0</v>
      </c>
      <c r="BH947" s="23"/>
      <c r="BI947" s="23"/>
      <c r="BJ947" s="23"/>
    </row>
    <row r="948" spans="1:66" ht="15" customHeight="1" x14ac:dyDescent="0.2">
      <c r="A948" s="1">
        <v>8906804370</v>
      </c>
      <c r="B948" s="1">
        <v>890680437</v>
      </c>
      <c r="C948" s="15">
        <v>214325743</v>
      </c>
      <c r="D948" s="16" t="s">
        <v>537</v>
      </c>
      <c r="E948" s="41" t="s">
        <v>1563</v>
      </c>
      <c r="F948" s="28"/>
      <c r="G948" s="2"/>
      <c r="H948" s="3"/>
      <c r="I948" s="2"/>
      <c r="J948" s="29"/>
      <c r="K948" s="3"/>
      <c r="L948" s="2"/>
      <c r="M948" s="8"/>
      <c r="N948" s="3"/>
      <c r="O948" s="2"/>
      <c r="P948" s="3"/>
      <c r="Q948" s="2"/>
      <c r="R948" s="3"/>
      <c r="S948" s="3"/>
      <c r="T948" s="2"/>
      <c r="U948" s="8">
        <f t="shared" si="117"/>
        <v>0</v>
      </c>
      <c r="V948" s="8"/>
      <c r="W948" s="8"/>
      <c r="X948" s="8"/>
      <c r="Y948" s="8"/>
      <c r="Z948" s="8"/>
      <c r="AA948" s="8"/>
      <c r="AB948" s="8"/>
      <c r="AC948" s="8">
        <f t="shared" si="118"/>
        <v>0</v>
      </c>
      <c r="AD948" s="8"/>
      <c r="AE948" s="8"/>
      <c r="AF948" s="8"/>
      <c r="AG948" s="8"/>
      <c r="AH948" s="8"/>
      <c r="AI948" s="8"/>
      <c r="AJ948" s="8"/>
      <c r="AK948" s="8"/>
      <c r="AL948" s="8"/>
      <c r="AM948" s="8">
        <v>311915386</v>
      </c>
      <c r="AN948" s="8">
        <f t="shared" si="123"/>
        <v>311915386</v>
      </c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>
        <v>138186500</v>
      </c>
      <c r="AZ948" s="8"/>
      <c r="BA948" s="8"/>
      <c r="BB948" s="8"/>
      <c r="BC948" s="8">
        <f t="shared" si="119"/>
        <v>450101886</v>
      </c>
      <c r="BD948" s="4">
        <v>138186500</v>
      </c>
      <c r="BE948" s="4">
        <f t="shared" si="120"/>
        <v>311915386</v>
      </c>
      <c r="BF948" s="30">
        <f t="shared" si="121"/>
        <v>450101886</v>
      </c>
      <c r="BG948" s="18">
        <f t="shared" si="122"/>
        <v>0</v>
      </c>
      <c r="BH948" s="23"/>
      <c r="BI948" s="23"/>
      <c r="BJ948" s="23"/>
    </row>
    <row r="949" spans="1:66" ht="15" customHeight="1" x14ac:dyDescent="0.2">
      <c r="A949" s="1">
        <v>8000959866</v>
      </c>
      <c r="B949" s="1">
        <v>800095986</v>
      </c>
      <c r="C949" s="15">
        <v>214319743</v>
      </c>
      <c r="D949" s="16" t="s">
        <v>404</v>
      </c>
      <c r="E949" s="41" t="s">
        <v>1433</v>
      </c>
      <c r="F949" s="28"/>
      <c r="G949" s="2"/>
      <c r="H949" s="3"/>
      <c r="I949" s="2"/>
      <c r="J949" s="29"/>
      <c r="K949" s="3"/>
      <c r="L949" s="2"/>
      <c r="M949" s="8"/>
      <c r="N949" s="3"/>
      <c r="O949" s="2"/>
      <c r="P949" s="3"/>
      <c r="Q949" s="2"/>
      <c r="R949" s="3"/>
      <c r="S949" s="3"/>
      <c r="T949" s="2"/>
      <c r="U949" s="8">
        <f t="shared" si="117"/>
        <v>0</v>
      </c>
      <c r="V949" s="8"/>
      <c r="W949" s="8"/>
      <c r="X949" s="8"/>
      <c r="Y949" s="8"/>
      <c r="Z949" s="8"/>
      <c r="AA949" s="8"/>
      <c r="AB949" s="8"/>
      <c r="AC949" s="8">
        <f t="shared" si="118"/>
        <v>0</v>
      </c>
      <c r="AD949" s="8"/>
      <c r="AE949" s="8"/>
      <c r="AF949" s="8"/>
      <c r="AG949" s="8"/>
      <c r="AH949" s="8"/>
      <c r="AI949" s="8"/>
      <c r="AJ949" s="8"/>
      <c r="AK949" s="8"/>
      <c r="AL949" s="8"/>
      <c r="AM949" s="8">
        <v>37389652</v>
      </c>
      <c r="AN949" s="8">
        <f t="shared" si="123"/>
        <v>37389652</v>
      </c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>
        <f>VLOOKUP(B949,[1]Hoja3!J$3:K$674,2,0)</f>
        <v>138980967</v>
      </c>
      <c r="BB949" s="8"/>
      <c r="BC949" s="8">
        <f t="shared" si="119"/>
        <v>176370619</v>
      </c>
      <c r="BD949" s="4"/>
      <c r="BE949" s="4">
        <f t="shared" si="120"/>
        <v>176370619</v>
      </c>
      <c r="BF949" s="30">
        <f t="shared" si="121"/>
        <v>176370619</v>
      </c>
      <c r="BG949" s="18">
        <f t="shared" si="122"/>
        <v>0</v>
      </c>
      <c r="BH949" s="23"/>
      <c r="BI949" s="23"/>
      <c r="BJ949" s="23"/>
    </row>
    <row r="950" spans="1:66" ht="15" customHeight="1" x14ac:dyDescent="0.2">
      <c r="A950" s="1">
        <v>8902088070</v>
      </c>
      <c r="B950" s="1">
        <v>890208807</v>
      </c>
      <c r="C950" s="15">
        <v>214568745</v>
      </c>
      <c r="D950" s="16" t="s">
        <v>880</v>
      </c>
      <c r="E950" s="41" t="s">
        <v>1894</v>
      </c>
      <c r="F950" s="28"/>
      <c r="G950" s="2"/>
      <c r="H950" s="3"/>
      <c r="I950" s="2"/>
      <c r="J950" s="29"/>
      <c r="K950" s="3"/>
      <c r="L950" s="2"/>
      <c r="M950" s="8"/>
      <c r="N950" s="3"/>
      <c r="O950" s="2"/>
      <c r="P950" s="3"/>
      <c r="Q950" s="2"/>
      <c r="R950" s="3"/>
      <c r="S950" s="3"/>
      <c r="T950" s="2"/>
      <c r="U950" s="8">
        <f t="shared" si="117"/>
        <v>0</v>
      </c>
      <c r="V950" s="8"/>
      <c r="W950" s="8"/>
      <c r="X950" s="8"/>
      <c r="Y950" s="8"/>
      <c r="Z950" s="8"/>
      <c r="AA950" s="8"/>
      <c r="AB950" s="8"/>
      <c r="AC950" s="8">
        <f t="shared" si="118"/>
        <v>0</v>
      </c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>
        <v>67821210</v>
      </c>
      <c r="AZ950" s="8"/>
      <c r="BA950" s="8">
        <f>VLOOKUP(B950,[1]Hoja3!J$3:K$674,2,0)</f>
        <v>154090801</v>
      </c>
      <c r="BB950" s="8"/>
      <c r="BC950" s="8">
        <f t="shared" si="119"/>
        <v>221912011</v>
      </c>
      <c r="BD950" s="4">
        <v>67821210</v>
      </c>
      <c r="BE950" s="4">
        <f t="shared" si="120"/>
        <v>154090801</v>
      </c>
      <c r="BF950" s="30">
        <f t="shared" si="121"/>
        <v>221912011</v>
      </c>
      <c r="BG950" s="18">
        <f t="shared" si="122"/>
        <v>0</v>
      </c>
      <c r="BH950" s="23"/>
      <c r="BI950" s="23"/>
      <c r="BJ950" s="23"/>
    </row>
    <row r="951" spans="1:66" ht="15" customHeight="1" x14ac:dyDescent="0.2">
      <c r="A951" s="1">
        <v>8999993842</v>
      </c>
      <c r="B951" s="1">
        <v>899999384</v>
      </c>
      <c r="C951" s="15">
        <v>214525745</v>
      </c>
      <c r="D951" s="16" t="s">
        <v>538</v>
      </c>
      <c r="E951" s="58" t="s">
        <v>2106</v>
      </c>
      <c r="F951" s="28"/>
      <c r="G951" s="2"/>
      <c r="H951" s="3"/>
      <c r="I951" s="2"/>
      <c r="J951" s="29"/>
      <c r="K951" s="3"/>
      <c r="L951" s="2"/>
      <c r="M951" s="8"/>
      <c r="N951" s="3"/>
      <c r="O951" s="2"/>
      <c r="P951" s="3"/>
      <c r="Q951" s="2"/>
      <c r="R951" s="3"/>
      <c r="S951" s="3"/>
      <c r="T951" s="2"/>
      <c r="U951" s="8">
        <f t="shared" si="117"/>
        <v>0</v>
      </c>
      <c r="V951" s="8"/>
      <c r="W951" s="8"/>
      <c r="X951" s="8"/>
      <c r="Y951" s="8"/>
      <c r="Z951" s="8"/>
      <c r="AA951" s="8"/>
      <c r="AB951" s="8"/>
      <c r="AC951" s="8">
        <f t="shared" si="118"/>
        <v>0</v>
      </c>
      <c r="AD951" s="8"/>
      <c r="AE951" s="8"/>
      <c r="AF951" s="8"/>
      <c r="AG951" s="8"/>
      <c r="AH951" s="8"/>
      <c r="AI951" s="8"/>
      <c r="AJ951" s="8"/>
      <c r="AK951" s="8"/>
      <c r="AL951" s="8"/>
      <c r="AM951" s="8">
        <v>195255486</v>
      </c>
      <c r="AN951" s="8">
        <f>SUBTOTAL(9,AC951:AM951)</f>
        <v>195255486</v>
      </c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>
        <v>79834025</v>
      </c>
      <c r="AZ951" s="8"/>
      <c r="BA951" s="8"/>
      <c r="BB951" s="8"/>
      <c r="BC951" s="8">
        <f t="shared" si="119"/>
        <v>275089511</v>
      </c>
      <c r="BD951" s="4">
        <v>79834025</v>
      </c>
      <c r="BE951" s="4">
        <f t="shared" si="120"/>
        <v>195255486</v>
      </c>
      <c r="BF951" s="30">
        <f t="shared" si="121"/>
        <v>275089511</v>
      </c>
      <c r="BG951" s="18">
        <f t="shared" si="122"/>
        <v>0</v>
      </c>
      <c r="BH951" s="23"/>
      <c r="BI951" s="23"/>
      <c r="BJ951" s="23"/>
    </row>
    <row r="952" spans="1:66" ht="15" customHeight="1" x14ac:dyDescent="0.2">
      <c r="A952" s="1">
        <v>8904800061</v>
      </c>
      <c r="B952" s="1">
        <v>890480006</v>
      </c>
      <c r="C952" s="15">
        <v>214413744</v>
      </c>
      <c r="D952" s="16" t="s">
        <v>209</v>
      </c>
      <c r="E952" s="41" t="s">
        <v>1244</v>
      </c>
      <c r="F952" s="28"/>
      <c r="G952" s="17"/>
      <c r="H952" s="3"/>
      <c r="I952" s="2"/>
      <c r="J952" s="29"/>
      <c r="K952" s="3"/>
      <c r="L952" s="17"/>
      <c r="M952" s="34"/>
      <c r="N952" s="3"/>
      <c r="O952" s="17"/>
      <c r="P952" s="3"/>
      <c r="Q952" s="2"/>
      <c r="R952" s="3"/>
      <c r="S952" s="3"/>
      <c r="T952" s="17"/>
      <c r="U952" s="8">
        <f t="shared" si="117"/>
        <v>0</v>
      </c>
      <c r="V952" s="8"/>
      <c r="W952" s="8"/>
      <c r="X952" s="8"/>
      <c r="Y952" s="8"/>
      <c r="Z952" s="8"/>
      <c r="AA952" s="8"/>
      <c r="AB952" s="8"/>
      <c r="AC952" s="8">
        <f t="shared" si="118"/>
        <v>0</v>
      </c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>
        <v>212349950</v>
      </c>
      <c r="AZ952" s="8"/>
      <c r="BA952" s="8">
        <f>VLOOKUP(B952,[1]Hoja3!J$3:K$674,2,0)</f>
        <v>333440823</v>
      </c>
      <c r="BB952" s="8"/>
      <c r="BC952" s="8">
        <f t="shared" si="119"/>
        <v>545790773</v>
      </c>
      <c r="BD952" s="4">
        <v>212349950</v>
      </c>
      <c r="BE952" s="4">
        <f t="shared" si="120"/>
        <v>333440823</v>
      </c>
      <c r="BF952" s="30">
        <f t="shared" si="121"/>
        <v>545790773</v>
      </c>
      <c r="BG952" s="18">
        <f t="shared" si="122"/>
        <v>0</v>
      </c>
      <c r="BH952" s="23"/>
      <c r="BI952" s="14"/>
      <c r="BJ952" s="14"/>
      <c r="BK952" s="14"/>
      <c r="BL952" s="14"/>
      <c r="BM952" s="14"/>
      <c r="BN952" s="14"/>
    </row>
    <row r="953" spans="1:66" ht="15" customHeight="1" x14ac:dyDescent="0.2">
      <c r="A953" s="1">
        <v>8001040626</v>
      </c>
      <c r="B953" s="1">
        <v>800104062</v>
      </c>
      <c r="C953" s="15">
        <v>210170001</v>
      </c>
      <c r="D953" s="16" t="s">
        <v>2185</v>
      </c>
      <c r="E953" s="53" t="s">
        <v>1028</v>
      </c>
      <c r="F953" s="28"/>
      <c r="G953" s="2"/>
      <c r="H953" s="3"/>
      <c r="I953" s="2">
        <f>7984619151+135364006</f>
        <v>8119983157</v>
      </c>
      <c r="J953" s="29">
        <v>538215964</v>
      </c>
      <c r="K953" s="3">
        <v>1067352655</v>
      </c>
      <c r="L953" s="2"/>
      <c r="M953" s="37">
        <f>SUM(F953:L953)</f>
        <v>9725551776</v>
      </c>
      <c r="N953" s="3"/>
      <c r="O953" s="2"/>
      <c r="P953" s="3"/>
      <c r="Q953" s="2">
        <f>7625898871+61529094</f>
        <v>7687427965</v>
      </c>
      <c r="R953" s="3">
        <v>538302868</v>
      </c>
      <c r="S953" s="3">
        <f>529136691+538302868</f>
        <v>1067439559</v>
      </c>
      <c r="T953" s="2"/>
      <c r="U953" s="8">
        <f t="shared" si="117"/>
        <v>19018722168</v>
      </c>
      <c r="V953" s="8"/>
      <c r="W953" s="8"/>
      <c r="X953" s="8"/>
      <c r="Y953" s="8">
        <v>10777976911</v>
      </c>
      <c r="Z953" s="8">
        <v>473064168</v>
      </c>
      <c r="AA953" s="8">
        <v>1106833051</v>
      </c>
      <c r="AB953" s="8"/>
      <c r="AC953" s="8">
        <f t="shared" si="118"/>
        <v>31376596298</v>
      </c>
      <c r="AD953" s="8"/>
      <c r="AE953" s="8"/>
      <c r="AF953" s="8"/>
      <c r="AG953" s="8"/>
      <c r="AH953" s="8">
        <v>8058149094</v>
      </c>
      <c r="AI953" s="8">
        <v>753105073</v>
      </c>
      <c r="AJ953" s="8">
        <v>538842801</v>
      </c>
      <c r="AK953" s="8">
        <v>1358330284</v>
      </c>
      <c r="AL953" s="8"/>
      <c r="AM953" s="8">
        <v>3610643178</v>
      </c>
      <c r="AN953" s="8">
        <f>SUBTOTAL(9,AC953:AM953)</f>
        <v>45695666728</v>
      </c>
      <c r="AO953" s="8"/>
      <c r="AP953" s="8"/>
      <c r="AQ953" s="8">
        <v>1860934215</v>
      </c>
      <c r="AR953" s="8"/>
      <c r="AS953" s="8"/>
      <c r="AT953" s="8">
        <v>8058149094</v>
      </c>
      <c r="AU953" s="8"/>
      <c r="AV953" s="8">
        <v>538842801</v>
      </c>
      <c r="AW953" s="8">
        <v>920013442</v>
      </c>
      <c r="AX953" s="8"/>
      <c r="AY953" s="8"/>
      <c r="AZ953" s="8">
        <v>1403866439</v>
      </c>
      <c r="BA953" s="8">
        <f>VLOOKUP(B953,[1]Hoja3!J$3:K$674,2,0)</f>
        <v>79514134</v>
      </c>
      <c r="BB953" s="8"/>
      <c r="BC953" s="8">
        <f t="shared" si="119"/>
        <v>58556986853</v>
      </c>
      <c r="BD953" s="4">
        <v>54866829541</v>
      </c>
      <c r="BE953" s="4">
        <f t="shared" si="120"/>
        <v>3690157312</v>
      </c>
      <c r="BF953" s="30">
        <f t="shared" si="121"/>
        <v>58556986853</v>
      </c>
      <c r="BG953" s="18">
        <f t="shared" si="122"/>
        <v>0</v>
      </c>
      <c r="BH953" s="23"/>
      <c r="BI953" s="23"/>
      <c r="BJ953" s="23"/>
    </row>
    <row r="954" spans="1:66" ht="15" customHeight="1" x14ac:dyDescent="0.2">
      <c r="A954" s="1">
        <v>8001007474</v>
      </c>
      <c r="B954" s="1">
        <v>800100747</v>
      </c>
      <c r="C954" s="15">
        <v>214270742</v>
      </c>
      <c r="D954" s="16" t="s">
        <v>2140</v>
      </c>
      <c r="E954" s="41" t="s">
        <v>1925</v>
      </c>
      <c r="F954" s="28"/>
      <c r="G954" s="2"/>
      <c r="H954" s="3"/>
      <c r="I954" s="2"/>
      <c r="J954" s="29"/>
      <c r="K954" s="3"/>
      <c r="L954" s="2"/>
      <c r="M954" s="8"/>
      <c r="N954" s="3"/>
      <c r="O954" s="2"/>
      <c r="P954" s="3"/>
      <c r="Q954" s="2"/>
      <c r="R954" s="3"/>
      <c r="S954" s="3"/>
      <c r="T954" s="2"/>
      <c r="U954" s="8">
        <f t="shared" si="117"/>
        <v>0</v>
      </c>
      <c r="V954" s="8"/>
      <c r="W954" s="8"/>
      <c r="X954" s="8"/>
      <c r="Y954" s="8"/>
      <c r="Z954" s="8"/>
      <c r="AA954" s="8"/>
      <c r="AB954" s="8"/>
      <c r="AC954" s="8">
        <f t="shared" si="118"/>
        <v>0</v>
      </c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>
        <f>VLOOKUP(B954,[1]Hoja3!J$3:K$674,2,0)</f>
        <v>423216012</v>
      </c>
      <c r="BB954" s="8"/>
      <c r="BC954" s="8">
        <f t="shared" si="119"/>
        <v>423216012</v>
      </c>
      <c r="BD954" s="4"/>
      <c r="BE954" s="4">
        <f t="shared" si="120"/>
        <v>423216012</v>
      </c>
      <c r="BF954" s="30">
        <f t="shared" si="121"/>
        <v>423216012</v>
      </c>
      <c r="BG954" s="18">
        <f t="shared" si="122"/>
        <v>0</v>
      </c>
      <c r="BH954" s="23"/>
      <c r="BI954" s="23"/>
      <c r="BJ954" s="23"/>
    </row>
    <row r="955" spans="1:66" ht="15" customHeight="1" x14ac:dyDescent="0.2">
      <c r="A955" s="1">
        <v>8000956134</v>
      </c>
      <c r="B955" s="1">
        <v>800095613</v>
      </c>
      <c r="C955" s="15">
        <v>214527745</v>
      </c>
      <c r="D955" s="16" t="s">
        <v>589</v>
      </c>
      <c r="E955" s="41" t="s">
        <v>1599</v>
      </c>
      <c r="F955" s="28"/>
      <c r="G955" s="2"/>
      <c r="H955" s="3"/>
      <c r="I955" s="2"/>
      <c r="J955" s="29"/>
      <c r="K955" s="3"/>
      <c r="L955" s="2"/>
      <c r="M955" s="8"/>
      <c r="N955" s="3"/>
      <c r="O955" s="2"/>
      <c r="P955" s="3"/>
      <c r="Q955" s="2"/>
      <c r="R955" s="3"/>
      <c r="S955" s="3"/>
      <c r="T955" s="2"/>
      <c r="U955" s="8">
        <f t="shared" si="117"/>
        <v>0</v>
      </c>
      <c r="V955" s="8"/>
      <c r="W955" s="8"/>
      <c r="X955" s="8"/>
      <c r="Y955" s="8"/>
      <c r="Z955" s="8"/>
      <c r="AA955" s="8"/>
      <c r="AB955" s="8"/>
      <c r="AC955" s="8">
        <f t="shared" si="118"/>
        <v>0</v>
      </c>
      <c r="AD955" s="8"/>
      <c r="AE955" s="8"/>
      <c r="AF955" s="8"/>
      <c r="AG955" s="8"/>
      <c r="AH955" s="8"/>
      <c r="AI955" s="8"/>
      <c r="AJ955" s="8"/>
      <c r="AK955" s="8"/>
      <c r="AL955" s="8"/>
      <c r="AM955" s="8">
        <v>67253716</v>
      </c>
      <c r="AN955" s="8">
        <f>SUBTOTAL(9,AC955:AM955)</f>
        <v>67253716</v>
      </c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>
        <v>38236095</v>
      </c>
      <c r="AZ955" s="8"/>
      <c r="BA955" s="8"/>
      <c r="BB955" s="8"/>
      <c r="BC955" s="8">
        <f t="shared" si="119"/>
        <v>105489811</v>
      </c>
      <c r="BD955" s="4">
        <v>38236095</v>
      </c>
      <c r="BE955" s="4">
        <f t="shared" si="120"/>
        <v>67253716</v>
      </c>
      <c r="BF955" s="30">
        <f t="shared" si="121"/>
        <v>105489811</v>
      </c>
      <c r="BG955" s="18">
        <f t="shared" si="122"/>
        <v>0</v>
      </c>
      <c r="BH955" s="23"/>
      <c r="BI955" s="23"/>
      <c r="BJ955" s="23"/>
    </row>
    <row r="956" spans="1:66" ht="15" customHeight="1" x14ac:dyDescent="0.2">
      <c r="A956" s="1">
        <v>8917801039</v>
      </c>
      <c r="B956" s="1">
        <v>891780103</v>
      </c>
      <c r="C956" s="15">
        <v>214547745</v>
      </c>
      <c r="D956" s="16" t="s">
        <v>662</v>
      </c>
      <c r="E956" s="41" t="s">
        <v>1683</v>
      </c>
      <c r="F956" s="28"/>
      <c r="G956" s="2"/>
      <c r="H956" s="3"/>
      <c r="I956" s="2"/>
      <c r="J956" s="29"/>
      <c r="K956" s="3"/>
      <c r="L956" s="2"/>
      <c r="M956" s="8"/>
      <c r="N956" s="3"/>
      <c r="O956" s="2"/>
      <c r="P956" s="3"/>
      <c r="Q956" s="2"/>
      <c r="R956" s="3"/>
      <c r="S956" s="3"/>
      <c r="T956" s="2"/>
      <c r="U956" s="8">
        <f t="shared" si="117"/>
        <v>0</v>
      </c>
      <c r="V956" s="8"/>
      <c r="W956" s="8"/>
      <c r="X956" s="8"/>
      <c r="Y956" s="8"/>
      <c r="Z956" s="8"/>
      <c r="AA956" s="8"/>
      <c r="AB956" s="8"/>
      <c r="AC956" s="8">
        <f t="shared" si="118"/>
        <v>0</v>
      </c>
      <c r="AD956" s="8"/>
      <c r="AE956" s="8"/>
      <c r="AF956" s="8"/>
      <c r="AG956" s="8"/>
      <c r="AH956" s="8"/>
      <c r="AI956" s="8"/>
      <c r="AJ956" s="8"/>
      <c r="AK956" s="8"/>
      <c r="AL956" s="8"/>
      <c r="AM956" s="8">
        <v>172486315</v>
      </c>
      <c r="AN956" s="8">
        <f>SUBTOTAL(9,AC956:AM956)</f>
        <v>172486315</v>
      </c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>
        <f>VLOOKUP(B956,[1]Hoja3!J$3:K$674,2,0)</f>
        <v>271301680</v>
      </c>
      <c r="BB956" s="8"/>
      <c r="BC956" s="8">
        <f t="shared" si="119"/>
        <v>443787995</v>
      </c>
      <c r="BD956" s="4"/>
      <c r="BE956" s="4">
        <f t="shared" si="120"/>
        <v>443787995</v>
      </c>
      <c r="BF956" s="30">
        <f t="shared" si="121"/>
        <v>443787995</v>
      </c>
      <c r="BG956" s="18">
        <f t="shared" si="122"/>
        <v>0</v>
      </c>
      <c r="BH956" s="23"/>
      <c r="BI956" s="23"/>
      <c r="BJ956" s="23"/>
    </row>
    <row r="957" spans="1:66" ht="15" customHeight="1" x14ac:dyDescent="0.2">
      <c r="A957" s="1">
        <v>8000226188</v>
      </c>
      <c r="B957" s="1">
        <v>800022618</v>
      </c>
      <c r="C957" s="15">
        <v>215805658</v>
      </c>
      <c r="D957" s="16" t="s">
        <v>2130</v>
      </c>
      <c r="E957" s="41" t="s">
        <v>1159</v>
      </c>
      <c r="F957" s="28"/>
      <c r="G957" s="17"/>
      <c r="H957" s="3"/>
      <c r="I957" s="2"/>
      <c r="J957" s="29"/>
      <c r="K957" s="3"/>
      <c r="L957" s="17"/>
      <c r="M957" s="34"/>
      <c r="N957" s="3"/>
      <c r="O957" s="17"/>
      <c r="P957" s="3"/>
      <c r="Q957" s="2"/>
      <c r="R957" s="3"/>
      <c r="S957" s="3"/>
      <c r="T957" s="17"/>
      <c r="U957" s="8">
        <f t="shared" si="117"/>
        <v>0</v>
      </c>
      <c r="V957" s="8"/>
      <c r="W957" s="8"/>
      <c r="X957" s="8"/>
      <c r="Y957" s="8"/>
      <c r="Z957" s="8"/>
      <c r="AA957" s="8"/>
      <c r="AB957" s="8"/>
      <c r="AC957" s="8">
        <f t="shared" si="118"/>
        <v>0</v>
      </c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>
        <v>20634310</v>
      </c>
      <c r="AZ957" s="8"/>
      <c r="BA957" s="8">
        <f>VLOOKUP(B957,[1]Hoja3!J$3:K$674,2,0)</f>
        <v>52273659</v>
      </c>
      <c r="BB957" s="8"/>
      <c r="BC957" s="8">
        <f t="shared" si="119"/>
        <v>72907969</v>
      </c>
      <c r="BD957" s="4">
        <v>20634310</v>
      </c>
      <c r="BE957" s="4">
        <f t="shared" si="120"/>
        <v>52273659</v>
      </c>
      <c r="BF957" s="30">
        <f t="shared" si="121"/>
        <v>72907969</v>
      </c>
      <c r="BG957" s="18">
        <f t="shared" si="122"/>
        <v>0</v>
      </c>
      <c r="BH957" s="23"/>
      <c r="BI957" s="14"/>
      <c r="BJ957" s="14"/>
      <c r="BK957" s="14"/>
      <c r="BL957" s="14"/>
      <c r="BM957" s="14"/>
      <c r="BN957" s="14"/>
    </row>
    <row r="958" spans="1:66" ht="15" customHeight="1" x14ac:dyDescent="0.2">
      <c r="A958" s="67">
        <v>8000947557</v>
      </c>
      <c r="B958" s="1">
        <v>800094755</v>
      </c>
      <c r="C958" s="15">
        <v>215425754</v>
      </c>
      <c r="D958" s="16" t="s">
        <v>2186</v>
      </c>
      <c r="E958" s="53" t="s">
        <v>1014</v>
      </c>
      <c r="F958" s="28"/>
      <c r="G958" s="2"/>
      <c r="H958" s="3"/>
      <c r="I958" s="2">
        <f>6330919151+228950213</f>
        <v>6559869364</v>
      </c>
      <c r="J958" s="3">
        <v>469607441</v>
      </c>
      <c r="K958" s="3">
        <v>930475857</v>
      </c>
      <c r="L958" s="2"/>
      <c r="M958" s="37">
        <f>SUM(F958:L958)</f>
        <v>7959952662</v>
      </c>
      <c r="N958" s="3"/>
      <c r="O958" s="2"/>
      <c r="P958" s="3"/>
      <c r="Q958" s="2">
        <f>6117634961+104068279</f>
        <v>6221703240</v>
      </c>
      <c r="R958" s="3">
        <v>469927492</v>
      </c>
      <c r="S958" s="3">
        <f>460868416+469927492</f>
        <v>930795908</v>
      </c>
      <c r="T958" s="2"/>
      <c r="U958" s="8">
        <f t="shared" si="117"/>
        <v>15582379302</v>
      </c>
      <c r="V958" s="8"/>
      <c r="W958" s="8"/>
      <c r="X958" s="8"/>
      <c r="Y958" s="8">
        <v>10692865256</v>
      </c>
      <c r="Z958" s="8">
        <v>506756110</v>
      </c>
      <c r="AA958" s="8">
        <v>1042431764</v>
      </c>
      <c r="AB958" s="8"/>
      <c r="AC958" s="8">
        <f t="shared" si="118"/>
        <v>27824432432</v>
      </c>
      <c r="AD958" s="8"/>
      <c r="AE958" s="8"/>
      <c r="AF958" s="8"/>
      <c r="AG958" s="8"/>
      <c r="AH958" s="8">
        <v>6286459886</v>
      </c>
      <c r="AI958" s="8">
        <v>995913447</v>
      </c>
      <c r="AJ958" s="8">
        <v>479753829</v>
      </c>
      <c r="AK958" s="8">
        <v>1208697620</v>
      </c>
      <c r="AL958" s="8"/>
      <c r="AM958" s="8">
        <v>4095933813</v>
      </c>
      <c r="AN958" s="8">
        <f>SUBTOTAL(9,AC958:AM958)</f>
        <v>40891191027</v>
      </c>
      <c r="AO958" s="8"/>
      <c r="AP958" s="8"/>
      <c r="AQ958" s="8">
        <v>1301302935</v>
      </c>
      <c r="AR958" s="8"/>
      <c r="AS958" s="8"/>
      <c r="AT958" s="8">
        <v>6832451544</v>
      </c>
      <c r="AU958" s="8">
        <v>10000000000</v>
      </c>
      <c r="AV958" s="8">
        <v>506756110</v>
      </c>
      <c r="AW958" s="8">
        <v>939456765.70000005</v>
      </c>
      <c r="AX958" s="8"/>
      <c r="AY958" s="8"/>
      <c r="AZ958" s="8">
        <v>0</v>
      </c>
      <c r="BA958" s="8"/>
      <c r="BB958" s="8"/>
      <c r="BC958" s="8">
        <f t="shared" si="119"/>
        <v>60471158381.699997</v>
      </c>
      <c r="BD958" s="4">
        <v>56375224569</v>
      </c>
      <c r="BE958" s="4">
        <f t="shared" si="120"/>
        <v>4095933813</v>
      </c>
      <c r="BF958" s="30">
        <f t="shared" si="121"/>
        <v>60471158382</v>
      </c>
      <c r="BG958" s="18">
        <f t="shared" si="122"/>
        <v>-0.3000030517578125</v>
      </c>
      <c r="BH958" s="23"/>
      <c r="BI958" s="23"/>
      <c r="BJ958" s="23"/>
    </row>
    <row r="959" spans="1:66" ht="15" customHeight="1" x14ac:dyDescent="0.2">
      <c r="A959" s="1">
        <v>8918550161</v>
      </c>
      <c r="B959" s="1">
        <v>891855016</v>
      </c>
      <c r="C959" s="15">
        <v>215315753</v>
      </c>
      <c r="D959" s="16" t="s">
        <v>308</v>
      </c>
      <c r="E959" s="41" t="s">
        <v>1340</v>
      </c>
      <c r="F959" s="28"/>
      <c r="G959" s="17"/>
      <c r="H959" s="3"/>
      <c r="I959" s="2"/>
      <c r="J959" s="29"/>
      <c r="K959" s="3"/>
      <c r="L959" s="17"/>
      <c r="M959" s="34"/>
      <c r="N959" s="3"/>
      <c r="O959" s="17"/>
      <c r="P959" s="3"/>
      <c r="Q959" s="2"/>
      <c r="R959" s="3"/>
      <c r="S959" s="3"/>
      <c r="T959" s="17"/>
      <c r="U959" s="8">
        <f t="shared" si="117"/>
        <v>0</v>
      </c>
      <c r="V959" s="8"/>
      <c r="W959" s="8"/>
      <c r="X959" s="8"/>
      <c r="Y959" s="8"/>
      <c r="Z959" s="8"/>
      <c r="AA959" s="8"/>
      <c r="AB959" s="8"/>
      <c r="AC959" s="8">
        <f t="shared" si="118"/>
        <v>0</v>
      </c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>
        <v>68554605</v>
      </c>
      <c r="AZ959" s="8"/>
      <c r="BA959" s="8">
        <f>VLOOKUP(B959,[1]Hoja3!J$3:K$674,2,0)</f>
        <v>120536277</v>
      </c>
      <c r="BB959" s="8"/>
      <c r="BC959" s="8">
        <f t="shared" si="119"/>
        <v>189090882</v>
      </c>
      <c r="BD959" s="4">
        <v>68554605</v>
      </c>
      <c r="BE959" s="4">
        <f t="shared" si="120"/>
        <v>120536277</v>
      </c>
      <c r="BF959" s="30">
        <f t="shared" si="121"/>
        <v>189090882</v>
      </c>
      <c r="BG959" s="18">
        <f t="shared" si="122"/>
        <v>0</v>
      </c>
      <c r="BH959" s="23"/>
      <c r="BI959" s="14"/>
      <c r="BJ959" s="14"/>
      <c r="BK959" s="14"/>
      <c r="BL959" s="14"/>
      <c r="BM959" s="14"/>
      <c r="BN959" s="14"/>
    </row>
    <row r="960" spans="1:66" ht="15" customHeight="1" x14ac:dyDescent="0.2">
      <c r="A960" s="1">
        <v>8000992108</v>
      </c>
      <c r="B960" s="1">
        <v>800099210</v>
      </c>
      <c r="C960" s="15">
        <v>215715757</v>
      </c>
      <c r="D960" s="16" t="s">
        <v>310</v>
      </c>
      <c r="E960" s="41" t="s">
        <v>1342</v>
      </c>
      <c r="F960" s="28"/>
      <c r="G960" s="17"/>
      <c r="H960" s="3"/>
      <c r="I960" s="2"/>
      <c r="J960" s="29"/>
      <c r="K960" s="3"/>
      <c r="L960" s="17"/>
      <c r="M960" s="34"/>
      <c r="N960" s="3"/>
      <c r="O960" s="17"/>
      <c r="P960" s="3"/>
      <c r="Q960" s="2"/>
      <c r="R960" s="3"/>
      <c r="S960" s="3"/>
      <c r="T960" s="17"/>
      <c r="U960" s="8">
        <f t="shared" si="117"/>
        <v>0</v>
      </c>
      <c r="V960" s="8"/>
      <c r="W960" s="8"/>
      <c r="X960" s="8"/>
      <c r="Y960" s="8"/>
      <c r="Z960" s="8"/>
      <c r="AA960" s="8"/>
      <c r="AB960" s="8"/>
      <c r="AC960" s="8">
        <f t="shared" si="118"/>
        <v>0</v>
      </c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>
        <v>50885995</v>
      </c>
      <c r="AZ960" s="8"/>
      <c r="BA960" s="8">
        <f>VLOOKUP(B960,[1]Hoja3!J$3:K$674,2,0)</f>
        <v>118865226</v>
      </c>
      <c r="BB960" s="8"/>
      <c r="BC960" s="8">
        <f t="shared" si="119"/>
        <v>169751221</v>
      </c>
      <c r="BD960" s="4">
        <v>50885995</v>
      </c>
      <c r="BE960" s="4">
        <f t="shared" si="120"/>
        <v>118865226</v>
      </c>
      <c r="BF960" s="30">
        <f t="shared" si="121"/>
        <v>169751221</v>
      </c>
      <c r="BG960" s="18">
        <f t="shared" si="122"/>
        <v>0</v>
      </c>
      <c r="BH960" s="23"/>
      <c r="BI960" s="14"/>
      <c r="BJ960" s="14"/>
      <c r="BK960" s="14"/>
      <c r="BL960" s="14"/>
      <c r="BM960" s="14"/>
      <c r="BN960" s="14"/>
    </row>
    <row r="961" spans="1:66" ht="15" customHeight="1" x14ac:dyDescent="0.2">
      <c r="A961" s="1">
        <v>8902036888</v>
      </c>
      <c r="B961" s="1">
        <v>890203688</v>
      </c>
      <c r="C961" s="15">
        <v>215568755</v>
      </c>
      <c r="D961" s="16" t="s">
        <v>881</v>
      </c>
      <c r="E961" s="41" t="s">
        <v>1895</v>
      </c>
      <c r="F961" s="28"/>
      <c r="G961" s="2"/>
      <c r="H961" s="3"/>
      <c r="I961" s="2"/>
      <c r="J961" s="29"/>
      <c r="K961" s="3"/>
      <c r="L961" s="2"/>
      <c r="M961" s="8"/>
      <c r="N961" s="3"/>
      <c r="O961" s="2"/>
      <c r="P961" s="3"/>
      <c r="Q961" s="2"/>
      <c r="R961" s="3"/>
      <c r="S961" s="3"/>
      <c r="T961" s="2"/>
      <c r="U961" s="8">
        <f t="shared" si="117"/>
        <v>0</v>
      </c>
      <c r="V961" s="8"/>
      <c r="W961" s="8"/>
      <c r="X961" s="8"/>
      <c r="Y961" s="8"/>
      <c r="Z961" s="8"/>
      <c r="AA961" s="8"/>
      <c r="AB961" s="8"/>
      <c r="AC961" s="8">
        <f t="shared" si="118"/>
        <v>0</v>
      </c>
      <c r="AD961" s="8"/>
      <c r="AE961" s="8"/>
      <c r="AF961" s="8"/>
      <c r="AG961" s="8"/>
      <c r="AH961" s="8"/>
      <c r="AI961" s="8"/>
      <c r="AJ961" s="8"/>
      <c r="AK961" s="8"/>
      <c r="AL961" s="8"/>
      <c r="AM961" s="8">
        <v>183831566</v>
      </c>
      <c r="AN961" s="8">
        <f>SUBTOTAL(9,AC961:AM961)</f>
        <v>183831566</v>
      </c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>
        <v>174549180</v>
      </c>
      <c r="AZ961" s="8"/>
      <c r="BA961" s="8">
        <f>VLOOKUP(B961,[1]Hoja3!J$3:K$674,2,0)</f>
        <v>183250926</v>
      </c>
      <c r="BB961" s="8"/>
      <c r="BC961" s="8">
        <f t="shared" si="119"/>
        <v>541631672</v>
      </c>
      <c r="BD961" s="4">
        <v>174549180</v>
      </c>
      <c r="BE961" s="4">
        <f t="shared" si="120"/>
        <v>367082492</v>
      </c>
      <c r="BF961" s="30">
        <f t="shared" si="121"/>
        <v>541631672</v>
      </c>
      <c r="BG961" s="18">
        <f t="shared" si="122"/>
        <v>0</v>
      </c>
      <c r="BH961" s="23"/>
      <c r="BI961" s="23"/>
      <c r="BJ961" s="23"/>
    </row>
    <row r="962" spans="1:66" ht="15" customHeight="1" x14ac:dyDescent="0.2">
      <c r="A962" s="1">
        <v>8000269111</v>
      </c>
      <c r="B962" s="1">
        <v>800026911</v>
      </c>
      <c r="C962" s="15">
        <v>215515755</v>
      </c>
      <c r="D962" s="16" t="s">
        <v>309</v>
      </c>
      <c r="E962" s="41" t="s">
        <v>1341</v>
      </c>
      <c r="F962" s="28"/>
      <c r="G962" s="17"/>
      <c r="H962" s="3"/>
      <c r="I962" s="2"/>
      <c r="J962" s="29"/>
      <c r="K962" s="3"/>
      <c r="L962" s="17"/>
      <c r="M962" s="34"/>
      <c r="N962" s="3"/>
      <c r="O962" s="17"/>
      <c r="P962" s="3"/>
      <c r="Q962" s="2"/>
      <c r="R962" s="3"/>
      <c r="S962" s="3"/>
      <c r="T962" s="17"/>
      <c r="U962" s="8">
        <f t="shared" si="117"/>
        <v>0</v>
      </c>
      <c r="V962" s="8"/>
      <c r="W962" s="8"/>
      <c r="X962" s="8"/>
      <c r="Y962" s="8"/>
      <c r="Z962" s="8"/>
      <c r="AA962" s="8"/>
      <c r="AB962" s="8"/>
      <c r="AC962" s="8">
        <f t="shared" si="118"/>
        <v>0</v>
      </c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>
        <f>VLOOKUP(B962,[1]Hoja3!J$3:K$674,2,0)</f>
        <v>112777521</v>
      </c>
      <c r="BB962" s="8"/>
      <c r="BC962" s="8">
        <f t="shared" si="119"/>
        <v>112777521</v>
      </c>
      <c r="BD962" s="4"/>
      <c r="BE962" s="4">
        <f t="shared" si="120"/>
        <v>112777521</v>
      </c>
      <c r="BF962" s="30">
        <f t="shared" si="121"/>
        <v>112777521</v>
      </c>
      <c r="BG962" s="18">
        <f t="shared" si="122"/>
        <v>0</v>
      </c>
      <c r="BH962" s="23"/>
      <c r="BI962" s="14"/>
      <c r="BJ962" s="14"/>
      <c r="BK962" s="14"/>
      <c r="BL962" s="14"/>
      <c r="BM962" s="14"/>
      <c r="BN962" s="14"/>
    </row>
    <row r="963" spans="1:66" ht="15" customHeight="1" x14ac:dyDescent="0.2">
      <c r="A963" s="1">
        <v>8918551301</v>
      </c>
      <c r="B963" s="1">
        <v>891855130</v>
      </c>
      <c r="C963" s="15">
        <v>215915759</v>
      </c>
      <c r="D963" s="16" t="s">
        <v>2187</v>
      </c>
      <c r="E963" s="53" t="s">
        <v>1063</v>
      </c>
      <c r="F963" s="28"/>
      <c r="G963" s="2"/>
      <c r="H963" s="3"/>
      <c r="I963" s="2">
        <f>2853621076+44684580</f>
        <v>2898305656</v>
      </c>
      <c r="J963" s="29">
        <v>204294630</v>
      </c>
      <c r="K963" s="3">
        <v>406268276</v>
      </c>
      <c r="L963" s="2"/>
      <c r="M963" s="37">
        <f>SUM(F963:L963)</f>
        <v>3508868562</v>
      </c>
      <c r="N963" s="3"/>
      <c r="O963" s="2"/>
      <c r="P963" s="3"/>
      <c r="Q963" s="2">
        <f>2742820510+20311173</f>
        <v>2763131683</v>
      </c>
      <c r="R963" s="3">
        <v>204623351</v>
      </c>
      <c r="S963" s="3">
        <f>201973646+204623351</f>
        <v>406596997</v>
      </c>
      <c r="T963" s="2"/>
      <c r="U963" s="8">
        <f t="shared" ref="U963:U1026" si="124">SUM(M963:T963)</f>
        <v>6883220593</v>
      </c>
      <c r="V963" s="8"/>
      <c r="W963" s="8"/>
      <c r="X963" s="8"/>
      <c r="Y963" s="8">
        <v>3845579392</v>
      </c>
      <c r="Z963" s="8">
        <v>212076827</v>
      </c>
      <c r="AA963" s="8">
        <v>484713484</v>
      </c>
      <c r="AB963" s="8"/>
      <c r="AC963" s="8">
        <f t="shared" si="118"/>
        <v>11425590296</v>
      </c>
      <c r="AD963" s="8"/>
      <c r="AE963" s="8"/>
      <c r="AF963" s="8"/>
      <c r="AG963" s="8"/>
      <c r="AH963" s="8">
        <v>2867525112</v>
      </c>
      <c r="AI963" s="8">
        <v>278294787</v>
      </c>
      <c r="AJ963" s="8">
        <v>210727410</v>
      </c>
      <c r="AK963" s="8">
        <v>530916012</v>
      </c>
      <c r="AL963" s="8"/>
      <c r="AM963" s="8">
        <v>1140320104</v>
      </c>
      <c r="AN963" s="8">
        <f>SUBTOTAL(9,AC963:AM963)</f>
        <v>16453373721</v>
      </c>
      <c r="AO963" s="8"/>
      <c r="AP963" s="8"/>
      <c r="AQ963" s="8">
        <v>459622205</v>
      </c>
      <c r="AR963" s="8"/>
      <c r="AS963" s="8"/>
      <c r="AT963" s="8">
        <v>2867525112</v>
      </c>
      <c r="AU963" s="8">
        <v>75000000</v>
      </c>
      <c r="AV963" s="8">
        <v>210727410</v>
      </c>
      <c r="AW963" s="8">
        <v>359532800</v>
      </c>
      <c r="AX963" s="8"/>
      <c r="AY963" s="8"/>
      <c r="AZ963" s="8">
        <v>465254945</v>
      </c>
      <c r="BA963" s="8">
        <f>VLOOKUP(B963,[1]Hoja3!J$3:K$674,2,0)</f>
        <v>339157139</v>
      </c>
      <c r="BB963" s="8"/>
      <c r="BC963" s="8">
        <f t="shared" si="119"/>
        <v>21230193332</v>
      </c>
      <c r="BD963" s="4">
        <v>19750716089</v>
      </c>
      <c r="BE963" s="4">
        <f t="shared" si="120"/>
        <v>1479477243</v>
      </c>
      <c r="BF963" s="30">
        <f t="shared" si="121"/>
        <v>21230193332</v>
      </c>
      <c r="BG963" s="18">
        <f t="shared" si="122"/>
        <v>0</v>
      </c>
      <c r="BH963" s="23"/>
      <c r="BI963" s="23"/>
      <c r="BJ963" s="23"/>
    </row>
    <row r="964" spans="1:66" ht="15" customHeight="1" x14ac:dyDescent="0.2">
      <c r="A964" s="1">
        <v>8000957861</v>
      </c>
      <c r="B964" s="1">
        <v>800095786</v>
      </c>
      <c r="C964" s="15">
        <v>215618756</v>
      </c>
      <c r="D964" s="16" t="s">
        <v>370</v>
      </c>
      <c r="E964" s="41" t="s">
        <v>1402</v>
      </c>
      <c r="F964" s="28"/>
      <c r="G964" s="2"/>
      <c r="H964" s="3"/>
      <c r="I964" s="2"/>
      <c r="J964" s="29"/>
      <c r="K964" s="3"/>
      <c r="L964" s="2"/>
      <c r="M964" s="8"/>
      <c r="N964" s="3"/>
      <c r="O964" s="2"/>
      <c r="P964" s="3"/>
      <c r="Q964" s="2"/>
      <c r="R964" s="3"/>
      <c r="S964" s="3"/>
      <c r="T964" s="2"/>
      <c r="U964" s="8">
        <f t="shared" si="124"/>
        <v>0</v>
      </c>
      <c r="V964" s="8"/>
      <c r="W964" s="8"/>
      <c r="X964" s="8"/>
      <c r="Y964" s="8"/>
      <c r="Z964" s="8"/>
      <c r="AA964" s="8"/>
      <c r="AB964" s="8"/>
      <c r="AC964" s="8">
        <f t="shared" ref="AC964:AC1027" si="125">SUM(U964:AB964)</f>
        <v>0</v>
      </c>
      <c r="AD964" s="8"/>
      <c r="AE964" s="8"/>
      <c r="AF964" s="8"/>
      <c r="AG964" s="8"/>
      <c r="AH964" s="8"/>
      <c r="AI964" s="8"/>
      <c r="AJ964" s="8"/>
      <c r="AK964" s="8"/>
      <c r="AL964" s="8"/>
      <c r="AM964" s="8">
        <v>123961232</v>
      </c>
      <c r="AN964" s="8">
        <f>SUBTOTAL(9,AC964:AM964)</f>
        <v>123961232</v>
      </c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>
        <v>160876635</v>
      </c>
      <c r="AZ964" s="8"/>
      <c r="BA964" s="8">
        <f>VLOOKUP(B964,[1]Hoja3!J$3:K$674,2,0)</f>
        <v>62811637</v>
      </c>
      <c r="BB964" s="8"/>
      <c r="BC964" s="8">
        <f t="shared" ref="BC964:BC1027" si="126">SUM(AN964:BA964)-BB964</f>
        <v>347649504</v>
      </c>
      <c r="BD964" s="4">
        <v>160876635</v>
      </c>
      <c r="BE964" s="4">
        <f t="shared" ref="BE964:BE1027" si="127">+AM964+BA964-BB964</f>
        <v>186772869</v>
      </c>
      <c r="BF964" s="30">
        <f t="shared" ref="BF964:BF1027" si="128">+BD964+BE964</f>
        <v>347649504</v>
      </c>
      <c r="BG964" s="18">
        <f t="shared" ref="BG964:BG1027" si="129">+BC964-BF964</f>
        <v>0</v>
      </c>
      <c r="BH964" s="23"/>
      <c r="BI964" s="23"/>
      <c r="BJ964" s="23"/>
    </row>
    <row r="965" spans="1:66" ht="15" customHeight="1" x14ac:dyDescent="0.2">
      <c r="A965" s="1">
        <v>8901062912</v>
      </c>
      <c r="B965" s="1">
        <v>890106291</v>
      </c>
      <c r="C965" s="15">
        <v>215808758</v>
      </c>
      <c r="D965" s="16" t="s">
        <v>2188</v>
      </c>
      <c r="E965" s="53" t="s">
        <v>1035</v>
      </c>
      <c r="F965" s="28"/>
      <c r="G965" s="2"/>
      <c r="H965" s="3"/>
      <c r="I965" s="39">
        <f>5828123907+147685723</f>
        <v>5975809630</v>
      </c>
      <c r="J965" s="29">
        <v>420755978</v>
      </c>
      <c r="K965" s="3">
        <v>834074405</v>
      </c>
      <c r="L965" s="2"/>
      <c r="M965" s="37">
        <f>SUM(F965:L965)</f>
        <v>7230640013</v>
      </c>
      <c r="N965" s="3"/>
      <c r="O965" s="2"/>
      <c r="P965" s="3"/>
      <c r="Q965" s="2">
        <f>5586957602+812000000+67129874</f>
        <v>6466087476</v>
      </c>
      <c r="R965" s="3">
        <v>420755978</v>
      </c>
      <c r="S965" s="3">
        <f>413318427+420755978</f>
        <v>834074405</v>
      </c>
      <c r="T965" s="2"/>
      <c r="U965" s="8">
        <f t="shared" si="124"/>
        <v>14951557872</v>
      </c>
      <c r="V965" s="8"/>
      <c r="W965" s="8"/>
      <c r="X965" s="8"/>
      <c r="Y965" s="8">
        <v>20398828198</v>
      </c>
      <c r="Z965" s="8">
        <v>575561191</v>
      </c>
      <c r="AA965" s="8">
        <v>953785657</v>
      </c>
      <c r="AB965" s="8"/>
      <c r="AC965" s="8">
        <f t="shared" si="125"/>
        <v>36879732918</v>
      </c>
      <c r="AD965" s="8"/>
      <c r="AE965" s="8"/>
      <c r="AF965" s="8"/>
      <c r="AG965" s="8"/>
      <c r="AH965" s="8">
        <v>6938985297</v>
      </c>
      <c r="AI965" s="8">
        <v>11846378831</v>
      </c>
      <c r="AJ965" s="8">
        <v>428063875</v>
      </c>
      <c r="AK965" s="8">
        <v>1078972770</v>
      </c>
      <c r="AL965" s="8"/>
      <c r="AM965" s="8">
        <v>3388208311</v>
      </c>
      <c r="AN965" s="8">
        <f>SUBTOTAL(9,AC965:AM965)</f>
        <v>60560342002</v>
      </c>
      <c r="AO965" s="8"/>
      <c r="AP965" s="8"/>
      <c r="AQ965" s="8">
        <v>1350656185</v>
      </c>
      <c r="AR965" s="8"/>
      <c r="AS965" s="8"/>
      <c r="AT965" s="8">
        <v>6938985297</v>
      </c>
      <c r="AU965" s="8">
        <v>2012303031</v>
      </c>
      <c r="AV965" s="8">
        <v>428063875</v>
      </c>
      <c r="AW965" s="8">
        <v>730933668</v>
      </c>
      <c r="AX965" s="8"/>
      <c r="AY965" s="8"/>
      <c r="AZ965" s="8"/>
      <c r="BA965" s="8">
        <f>VLOOKUP(B965,[1]Hoja3!J$3:K$674,2,0)</f>
        <v>275099035</v>
      </c>
      <c r="BB965" s="8"/>
      <c r="BC965" s="8">
        <f t="shared" si="126"/>
        <v>72296383093</v>
      </c>
      <c r="BD965" s="4">
        <v>68633075747</v>
      </c>
      <c r="BE965" s="4">
        <f t="shared" si="127"/>
        <v>3663307346</v>
      </c>
      <c r="BF965" s="30">
        <f t="shared" si="128"/>
        <v>72296383093</v>
      </c>
      <c r="BG965" s="18">
        <f t="shared" si="129"/>
        <v>0</v>
      </c>
      <c r="BH965" s="23"/>
      <c r="BI965" s="23"/>
      <c r="BJ965" s="23"/>
    </row>
    <row r="966" spans="1:66" ht="15" customHeight="1" x14ac:dyDescent="0.2">
      <c r="A966" s="1">
        <v>8000957884</v>
      </c>
      <c r="B966" s="1">
        <v>800095788</v>
      </c>
      <c r="C966" s="15">
        <v>218518785</v>
      </c>
      <c r="D966" s="16" t="s">
        <v>371</v>
      </c>
      <c r="E966" s="41" t="s">
        <v>1403</v>
      </c>
      <c r="F966" s="28"/>
      <c r="G966" s="2"/>
      <c r="H966" s="3"/>
      <c r="I966" s="2"/>
      <c r="J966" s="29"/>
      <c r="K966" s="3"/>
      <c r="L966" s="2"/>
      <c r="M966" s="8"/>
      <c r="N966" s="3"/>
      <c r="O966" s="2"/>
      <c r="P966" s="3"/>
      <c r="Q966" s="2"/>
      <c r="R966" s="3"/>
      <c r="S966" s="3"/>
      <c r="T966" s="2"/>
      <c r="U966" s="8">
        <f t="shared" si="124"/>
        <v>0</v>
      </c>
      <c r="V966" s="8"/>
      <c r="W966" s="8"/>
      <c r="X966" s="8"/>
      <c r="Y966" s="8"/>
      <c r="Z966" s="8"/>
      <c r="AA966" s="8"/>
      <c r="AB966" s="8"/>
      <c r="AC966" s="8">
        <f t="shared" si="125"/>
        <v>0</v>
      </c>
      <c r="AD966" s="8"/>
      <c r="AE966" s="8"/>
      <c r="AF966" s="8"/>
      <c r="AG966" s="8"/>
      <c r="AH966" s="8"/>
      <c r="AI966" s="8"/>
      <c r="AJ966" s="8"/>
      <c r="AK966" s="8"/>
      <c r="AL966" s="8"/>
      <c r="AM966" s="8">
        <v>90471055</v>
      </c>
      <c r="AN966" s="8">
        <f>SUBTOTAL(9,AC966:AM966)</f>
        <v>90471055</v>
      </c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>
        <v>74040705</v>
      </c>
      <c r="AZ966" s="8"/>
      <c r="BA966" s="8">
        <f>VLOOKUP(B966,[1]Hoja3!J$3:K$674,2,0)</f>
        <v>41823330</v>
      </c>
      <c r="BB966" s="8"/>
      <c r="BC966" s="8">
        <f t="shared" si="126"/>
        <v>206335090</v>
      </c>
      <c r="BD966" s="4">
        <v>74040705</v>
      </c>
      <c r="BE966" s="4">
        <f t="shared" si="127"/>
        <v>132294385</v>
      </c>
      <c r="BF966" s="30">
        <f t="shared" si="128"/>
        <v>206335090</v>
      </c>
      <c r="BG966" s="18">
        <f t="shared" si="129"/>
        <v>0</v>
      </c>
      <c r="BH966" s="23"/>
      <c r="BI966" s="23"/>
      <c r="BJ966" s="23"/>
    </row>
    <row r="967" spans="1:66" ht="15" customHeight="1" x14ac:dyDescent="0.2">
      <c r="A967" s="1">
        <v>8000298265</v>
      </c>
      <c r="B967" s="1">
        <v>800029826</v>
      </c>
      <c r="C967" s="15">
        <v>216115761</v>
      </c>
      <c r="D967" s="16" t="s">
        <v>311</v>
      </c>
      <c r="E967" s="41" t="s">
        <v>1343</v>
      </c>
      <c r="F967" s="28"/>
      <c r="G967" s="17"/>
      <c r="H967" s="3"/>
      <c r="I967" s="2"/>
      <c r="J967" s="29"/>
      <c r="K967" s="3"/>
      <c r="L967" s="17"/>
      <c r="M967" s="34"/>
      <c r="N967" s="3"/>
      <c r="O967" s="17"/>
      <c r="P967" s="3"/>
      <c r="Q967" s="2"/>
      <c r="R967" s="3"/>
      <c r="S967" s="3"/>
      <c r="T967" s="17"/>
      <c r="U967" s="8">
        <f t="shared" si="124"/>
        <v>0</v>
      </c>
      <c r="V967" s="8"/>
      <c r="W967" s="8"/>
      <c r="X967" s="8"/>
      <c r="Y967" s="8"/>
      <c r="Z967" s="8"/>
      <c r="AA967" s="8"/>
      <c r="AB967" s="8"/>
      <c r="AC967" s="8">
        <f t="shared" si="125"/>
        <v>0</v>
      </c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  <c r="AY967" s="8">
        <v>25373480</v>
      </c>
      <c r="AZ967" s="8"/>
      <c r="BA967" s="8">
        <f>VLOOKUP(B967,[1]Hoja3!J$3:K$674,2,0)</f>
        <v>42597415</v>
      </c>
      <c r="BB967" s="8"/>
      <c r="BC967" s="8">
        <f t="shared" si="126"/>
        <v>67970895</v>
      </c>
      <c r="BD967" s="4">
        <v>25373480</v>
      </c>
      <c r="BE967" s="4">
        <f t="shared" si="127"/>
        <v>42597415</v>
      </c>
      <c r="BF967" s="30">
        <f t="shared" si="128"/>
        <v>67970895</v>
      </c>
      <c r="BG967" s="18">
        <f t="shared" si="129"/>
        <v>0</v>
      </c>
      <c r="BH967" s="23"/>
      <c r="BI967" s="14"/>
      <c r="BJ967" s="14"/>
      <c r="BK967" s="14"/>
      <c r="BL967" s="14"/>
      <c r="BM967" s="14"/>
      <c r="BN967" s="14"/>
    </row>
    <row r="968" spans="1:66" ht="15" customHeight="1" x14ac:dyDescent="0.2">
      <c r="A968" s="1">
        <v>8909803577</v>
      </c>
      <c r="B968" s="1">
        <v>890980357</v>
      </c>
      <c r="C968" s="15">
        <v>215605756</v>
      </c>
      <c r="D968" s="16" t="s">
        <v>142</v>
      </c>
      <c r="E968" s="41" t="s">
        <v>1171</v>
      </c>
      <c r="F968" s="28"/>
      <c r="G968" s="2"/>
      <c r="H968" s="3"/>
      <c r="I968" s="2"/>
      <c r="J968" s="29"/>
      <c r="K968" s="3"/>
      <c r="L968" s="2"/>
      <c r="M968" s="8"/>
      <c r="N968" s="3"/>
      <c r="O968" s="2"/>
      <c r="P968" s="3"/>
      <c r="Q968" s="2"/>
      <c r="R968" s="3"/>
      <c r="S968" s="3"/>
      <c r="T968" s="2"/>
      <c r="U968" s="8">
        <f t="shared" si="124"/>
        <v>0</v>
      </c>
      <c r="V968" s="8"/>
      <c r="W968" s="8"/>
      <c r="X968" s="8"/>
      <c r="Y968" s="8"/>
      <c r="Z968" s="8"/>
      <c r="AA968" s="8"/>
      <c r="AB968" s="8"/>
      <c r="AC968" s="8">
        <f t="shared" si="125"/>
        <v>0</v>
      </c>
      <c r="AD968" s="8"/>
      <c r="AE968" s="8"/>
      <c r="AF968" s="8"/>
      <c r="AG968" s="8"/>
      <c r="AH968" s="8"/>
      <c r="AI968" s="8"/>
      <c r="AJ968" s="8"/>
      <c r="AK968" s="8"/>
      <c r="AL968" s="8"/>
      <c r="AM968" s="8">
        <v>497433131</v>
      </c>
      <c r="AN968" s="8">
        <f>SUBTOTAL(9,AC968:AM968)</f>
        <v>497433131</v>
      </c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>
        <v>231226575</v>
      </c>
      <c r="AZ968" s="8"/>
      <c r="BA968" s="8"/>
      <c r="BB968" s="8"/>
      <c r="BC968" s="8">
        <f t="shared" si="126"/>
        <v>728659706</v>
      </c>
      <c r="BD968" s="4">
        <v>231226575</v>
      </c>
      <c r="BE968" s="4">
        <f t="shared" si="127"/>
        <v>497433131</v>
      </c>
      <c r="BF968" s="30">
        <f t="shared" si="128"/>
        <v>728659706</v>
      </c>
      <c r="BG968" s="18">
        <f t="shared" si="129"/>
        <v>0</v>
      </c>
      <c r="BH968" s="23"/>
      <c r="BI968" s="23"/>
      <c r="BJ968" s="23"/>
    </row>
    <row r="969" spans="1:66" ht="15" customHeight="1" x14ac:dyDescent="0.2">
      <c r="A969" s="1">
        <v>8909810807</v>
      </c>
      <c r="B969" s="1">
        <v>890981080</v>
      </c>
      <c r="C969" s="15">
        <v>216105761</v>
      </c>
      <c r="D969" s="16" t="s">
        <v>143</v>
      </c>
      <c r="E969" s="41" t="s">
        <v>1172</v>
      </c>
      <c r="F969" s="28"/>
      <c r="G969" s="2"/>
      <c r="H969" s="3"/>
      <c r="I969" s="2"/>
      <c r="J969" s="29"/>
      <c r="K969" s="3"/>
      <c r="L969" s="2"/>
      <c r="M969" s="8"/>
      <c r="N969" s="3"/>
      <c r="O969" s="2"/>
      <c r="P969" s="3"/>
      <c r="Q969" s="2"/>
      <c r="R969" s="3"/>
      <c r="S969" s="3"/>
      <c r="T969" s="2"/>
      <c r="U969" s="8">
        <f t="shared" si="124"/>
        <v>0</v>
      </c>
      <c r="V969" s="8"/>
      <c r="W969" s="8"/>
      <c r="X969" s="8"/>
      <c r="Y969" s="8"/>
      <c r="Z969" s="8"/>
      <c r="AA969" s="8"/>
      <c r="AB969" s="8"/>
      <c r="AC969" s="8">
        <f t="shared" si="125"/>
        <v>0</v>
      </c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>
        <f>VLOOKUP(B969,[1]Hoja3!J$3:K$674,2,0)</f>
        <v>200743627</v>
      </c>
      <c r="BB969" s="8"/>
      <c r="BC969" s="8">
        <f t="shared" si="126"/>
        <v>200743627</v>
      </c>
      <c r="BD969" s="4"/>
      <c r="BE969" s="4">
        <f t="shared" si="127"/>
        <v>200743627</v>
      </c>
      <c r="BF969" s="30">
        <f t="shared" si="128"/>
        <v>200743627</v>
      </c>
      <c r="BG969" s="18">
        <f t="shared" si="129"/>
        <v>0</v>
      </c>
      <c r="BH969" s="23"/>
      <c r="BI969" s="23"/>
      <c r="BJ969" s="23"/>
    </row>
    <row r="970" spans="1:66" ht="15" customHeight="1" x14ac:dyDescent="0.2">
      <c r="A970" s="1">
        <v>8000356779</v>
      </c>
      <c r="B970" s="1">
        <v>800035677</v>
      </c>
      <c r="C970" s="15">
        <v>216013760</v>
      </c>
      <c r="D970" s="16" t="s">
        <v>210</v>
      </c>
      <c r="E970" s="41" t="s">
        <v>1245</v>
      </c>
      <c r="F970" s="28"/>
      <c r="G970" s="17"/>
      <c r="H970" s="3"/>
      <c r="I970" s="2"/>
      <c r="J970" s="29"/>
      <c r="K970" s="3"/>
      <c r="L970" s="17"/>
      <c r="M970" s="34"/>
      <c r="N970" s="3"/>
      <c r="O970" s="17"/>
      <c r="P970" s="3"/>
      <c r="Q970" s="2"/>
      <c r="R970" s="3"/>
      <c r="S970" s="3"/>
      <c r="T970" s="17"/>
      <c r="U970" s="8">
        <f t="shared" si="124"/>
        <v>0</v>
      </c>
      <c r="V970" s="8"/>
      <c r="W970" s="8"/>
      <c r="X970" s="8"/>
      <c r="Y970" s="8"/>
      <c r="Z970" s="8"/>
      <c r="AA970" s="8"/>
      <c r="AB970" s="8"/>
      <c r="AC970" s="8">
        <f t="shared" si="125"/>
        <v>0</v>
      </c>
      <c r="AD970" s="8"/>
      <c r="AE970" s="8"/>
      <c r="AF970" s="8"/>
      <c r="AG970" s="8"/>
      <c r="AH970" s="8"/>
      <c r="AI970" s="8"/>
      <c r="AJ970" s="8"/>
      <c r="AK970" s="8"/>
      <c r="AL970" s="8"/>
      <c r="AM970" s="8">
        <v>123655308</v>
      </c>
      <c r="AN970" s="8">
        <f>SUBTOTAL(9,AC970:AM970)</f>
        <v>123655308</v>
      </c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>
        <v>75254565</v>
      </c>
      <c r="AZ970" s="8"/>
      <c r="BA970" s="8"/>
      <c r="BB970" s="8"/>
      <c r="BC970" s="8">
        <f t="shared" si="126"/>
        <v>198909873</v>
      </c>
      <c r="BD970" s="4">
        <v>75254565</v>
      </c>
      <c r="BE970" s="4">
        <f t="shared" si="127"/>
        <v>123655308</v>
      </c>
      <c r="BF970" s="30">
        <f t="shared" si="128"/>
        <v>198909873</v>
      </c>
      <c r="BG970" s="18">
        <f t="shared" si="129"/>
        <v>0</v>
      </c>
      <c r="BH970" s="23"/>
      <c r="BI970" s="14"/>
      <c r="BJ970" s="14"/>
      <c r="BK970" s="14"/>
      <c r="BL970" s="14"/>
      <c r="BM970" s="14"/>
      <c r="BN970" s="14"/>
    </row>
    <row r="971" spans="1:66" ht="15" customHeight="1" x14ac:dyDescent="0.2">
      <c r="A971" s="1">
        <v>8999994682</v>
      </c>
      <c r="B971" s="1">
        <v>899999468</v>
      </c>
      <c r="C971" s="15">
        <v>215825758</v>
      </c>
      <c r="D971" s="16" t="s">
        <v>539</v>
      </c>
      <c r="E971" s="41" t="s">
        <v>1564</v>
      </c>
      <c r="F971" s="28"/>
      <c r="G971" s="2"/>
      <c r="H971" s="3"/>
      <c r="I971" s="2"/>
      <c r="J971" s="29"/>
      <c r="K971" s="3"/>
      <c r="L971" s="2"/>
      <c r="M971" s="8"/>
      <c r="N971" s="3"/>
      <c r="O971" s="2"/>
      <c r="P971" s="3"/>
      <c r="Q971" s="2"/>
      <c r="R971" s="3"/>
      <c r="S971" s="3"/>
      <c r="T971" s="2"/>
      <c r="U971" s="8">
        <f t="shared" si="124"/>
        <v>0</v>
      </c>
      <c r="V971" s="8"/>
      <c r="W971" s="8"/>
      <c r="X971" s="8"/>
      <c r="Y971" s="8"/>
      <c r="Z971" s="8"/>
      <c r="AA971" s="8"/>
      <c r="AB971" s="8"/>
      <c r="AC971" s="8">
        <f t="shared" si="125"/>
        <v>0</v>
      </c>
      <c r="AD971" s="8"/>
      <c r="AE971" s="8"/>
      <c r="AF971" s="8"/>
      <c r="AG971" s="8"/>
      <c r="AH971" s="8"/>
      <c r="AI971" s="8"/>
      <c r="AJ971" s="8"/>
      <c r="AK971" s="8"/>
      <c r="AL971" s="8"/>
      <c r="AM971" s="8">
        <v>336029249</v>
      </c>
      <c r="AN971" s="8">
        <f>SUBTOTAL(9,AC971:AM971)</f>
        <v>336029249</v>
      </c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>
        <f t="shared" si="126"/>
        <v>336029249</v>
      </c>
      <c r="BD971" s="4"/>
      <c r="BE971" s="4">
        <f t="shared" si="127"/>
        <v>336029249</v>
      </c>
      <c r="BF971" s="30">
        <f t="shared" si="128"/>
        <v>336029249</v>
      </c>
      <c r="BG971" s="18">
        <f t="shared" si="129"/>
        <v>0</v>
      </c>
      <c r="BH971" s="23"/>
      <c r="BI971" s="23"/>
      <c r="BJ971" s="23"/>
    </row>
    <row r="972" spans="1:66" ht="15" customHeight="1" x14ac:dyDescent="0.2">
      <c r="A972" s="1">
        <v>8000192779</v>
      </c>
      <c r="B972" s="1">
        <v>800019277</v>
      </c>
      <c r="C972" s="15">
        <v>216215762</v>
      </c>
      <c r="D972" s="16" t="s">
        <v>312</v>
      </c>
      <c r="E972" s="41" t="s">
        <v>1344</v>
      </c>
      <c r="F972" s="28"/>
      <c r="G972" s="17"/>
      <c r="H972" s="3"/>
      <c r="I972" s="2"/>
      <c r="J972" s="29"/>
      <c r="K972" s="3"/>
      <c r="L972" s="17"/>
      <c r="M972" s="34"/>
      <c r="N972" s="3"/>
      <c r="O972" s="17"/>
      <c r="P972" s="3"/>
      <c r="Q972" s="2"/>
      <c r="R972" s="3"/>
      <c r="S972" s="3"/>
      <c r="T972" s="17"/>
      <c r="U972" s="8">
        <f t="shared" si="124"/>
        <v>0</v>
      </c>
      <c r="V972" s="8"/>
      <c r="W972" s="8"/>
      <c r="X972" s="8"/>
      <c r="Y972" s="8"/>
      <c r="Z972" s="8"/>
      <c r="AA972" s="8"/>
      <c r="AB972" s="8"/>
      <c r="AC972" s="8">
        <f t="shared" si="125"/>
        <v>0</v>
      </c>
      <c r="AD972" s="8"/>
      <c r="AE972" s="8"/>
      <c r="AF972" s="8"/>
      <c r="AG972" s="8"/>
      <c r="AH972" s="8"/>
      <c r="AI972" s="8"/>
      <c r="AJ972" s="8"/>
      <c r="AK972" s="8"/>
      <c r="AL972" s="8"/>
      <c r="AM972" s="8">
        <v>46277223</v>
      </c>
      <c r="AN972" s="8">
        <f>SUBTOTAL(9,AC972:AM972)</f>
        <v>46277223</v>
      </c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>
        <v>24319755</v>
      </c>
      <c r="AZ972" s="8"/>
      <c r="BA972" s="8"/>
      <c r="BB972" s="8"/>
      <c r="BC972" s="8">
        <f t="shared" si="126"/>
        <v>70596978</v>
      </c>
      <c r="BD972" s="4">
        <v>24319755</v>
      </c>
      <c r="BE972" s="4">
        <f t="shared" si="127"/>
        <v>46277223</v>
      </c>
      <c r="BF972" s="30">
        <f t="shared" si="128"/>
        <v>70596978</v>
      </c>
      <c r="BG972" s="18">
        <f t="shared" si="129"/>
        <v>0</v>
      </c>
      <c r="BH972" s="23"/>
      <c r="BI972" s="14"/>
      <c r="BJ972" s="14"/>
      <c r="BK972" s="14"/>
      <c r="BL972" s="14"/>
      <c r="BM972" s="14"/>
      <c r="BN972" s="14"/>
    </row>
    <row r="973" spans="1:66" ht="15" customHeight="1" x14ac:dyDescent="0.2">
      <c r="A973" s="1">
        <v>8000159097</v>
      </c>
      <c r="B973" s="1">
        <v>800015909</v>
      </c>
      <c r="C973" s="15">
        <v>216415764</v>
      </c>
      <c r="D973" s="16" t="s">
        <v>314</v>
      </c>
      <c r="E973" s="41" t="s">
        <v>1346</v>
      </c>
      <c r="F973" s="28"/>
      <c r="G973" s="17"/>
      <c r="H973" s="3"/>
      <c r="I973" s="2"/>
      <c r="J973" s="29"/>
      <c r="K973" s="3"/>
      <c r="L973" s="17"/>
      <c r="M973" s="34"/>
      <c r="N973" s="3"/>
      <c r="O973" s="17"/>
      <c r="P973" s="3"/>
      <c r="Q973" s="2"/>
      <c r="R973" s="3"/>
      <c r="S973" s="3"/>
      <c r="T973" s="17"/>
      <c r="U973" s="8">
        <f t="shared" si="124"/>
        <v>0</v>
      </c>
      <c r="V973" s="8"/>
      <c r="W973" s="8"/>
      <c r="X973" s="8"/>
      <c r="Y973" s="8"/>
      <c r="Z973" s="8"/>
      <c r="AA973" s="8"/>
      <c r="AB973" s="8"/>
      <c r="AC973" s="8">
        <f t="shared" si="125"/>
        <v>0</v>
      </c>
      <c r="AD973" s="8"/>
      <c r="AE973" s="8"/>
      <c r="AF973" s="8"/>
      <c r="AG973" s="8"/>
      <c r="AH973" s="8"/>
      <c r="AI973" s="8"/>
      <c r="AJ973" s="8"/>
      <c r="AK973" s="8"/>
      <c r="AL973" s="8"/>
      <c r="AM973" s="8">
        <v>147922536</v>
      </c>
      <c r="AN973" s="8">
        <f>SUBTOTAL(9,AC973:AM973)</f>
        <v>147922536</v>
      </c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>
        <v>53670730</v>
      </c>
      <c r="AZ973" s="8"/>
      <c r="BA973" s="8"/>
      <c r="BB973" s="8"/>
      <c r="BC973" s="8">
        <f t="shared" si="126"/>
        <v>201593266</v>
      </c>
      <c r="BD973" s="4">
        <v>53670730</v>
      </c>
      <c r="BE973" s="4">
        <f t="shared" si="127"/>
        <v>147922536</v>
      </c>
      <c r="BF973" s="30">
        <f t="shared" si="128"/>
        <v>201593266</v>
      </c>
      <c r="BG973" s="18">
        <f t="shared" si="129"/>
        <v>0</v>
      </c>
      <c r="BH973" s="23"/>
      <c r="BI973" s="14"/>
      <c r="BJ973" s="14"/>
      <c r="BK973" s="14"/>
      <c r="BL973" s="14"/>
      <c r="BM973" s="14"/>
      <c r="BN973" s="14"/>
    </row>
    <row r="974" spans="1:66" ht="15" customHeight="1" x14ac:dyDescent="0.2">
      <c r="A974" s="1">
        <v>8918010611</v>
      </c>
      <c r="B974" s="1">
        <v>891801061</v>
      </c>
      <c r="C974" s="15">
        <v>216315763</v>
      </c>
      <c r="D974" s="16" t="s">
        <v>313</v>
      </c>
      <c r="E974" s="41" t="s">
        <v>1345</v>
      </c>
      <c r="F974" s="28"/>
      <c r="G974" s="17"/>
      <c r="H974" s="3"/>
      <c r="I974" s="2"/>
      <c r="J974" s="29"/>
      <c r="K974" s="3"/>
      <c r="L974" s="17"/>
      <c r="M974" s="34"/>
      <c r="N974" s="3"/>
      <c r="O974" s="17"/>
      <c r="P974" s="3"/>
      <c r="Q974" s="2"/>
      <c r="R974" s="3"/>
      <c r="S974" s="3"/>
      <c r="T974" s="17"/>
      <c r="U974" s="8">
        <f t="shared" si="124"/>
        <v>0</v>
      </c>
      <c r="V974" s="8"/>
      <c r="W974" s="8"/>
      <c r="X974" s="8"/>
      <c r="Y974" s="8"/>
      <c r="Z974" s="8"/>
      <c r="AA974" s="8"/>
      <c r="AB974" s="8"/>
      <c r="AC974" s="8">
        <f t="shared" si="125"/>
        <v>0</v>
      </c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>
        <v>52125680</v>
      </c>
      <c r="AZ974" s="8"/>
      <c r="BA974" s="8">
        <f>VLOOKUP(B974,[1]Hoja3!J$3:K$674,2,0)</f>
        <v>122178622</v>
      </c>
      <c r="BB974" s="8"/>
      <c r="BC974" s="8">
        <f t="shared" si="126"/>
        <v>174304302</v>
      </c>
      <c r="BD974" s="4">
        <v>52125680</v>
      </c>
      <c r="BE974" s="4">
        <f t="shared" si="127"/>
        <v>122178622</v>
      </c>
      <c r="BF974" s="30">
        <f t="shared" si="128"/>
        <v>174304302</v>
      </c>
      <c r="BG974" s="18">
        <f t="shared" si="129"/>
        <v>0</v>
      </c>
      <c r="BH974" s="23"/>
      <c r="BI974" s="14"/>
      <c r="BJ974" s="14"/>
      <c r="BK974" s="14"/>
      <c r="BL974" s="14"/>
      <c r="BM974" s="14"/>
      <c r="BN974" s="14"/>
    </row>
    <row r="975" spans="1:66" ht="15" customHeight="1" x14ac:dyDescent="0.2">
      <c r="A975" s="1">
        <v>8915012776</v>
      </c>
      <c r="B975" s="1">
        <v>891501277</v>
      </c>
      <c r="C975" s="15">
        <v>216019760</v>
      </c>
      <c r="D975" s="16" t="s">
        <v>405</v>
      </c>
      <c r="E975" s="41" t="s">
        <v>1434</v>
      </c>
      <c r="F975" s="28"/>
      <c r="G975" s="2"/>
      <c r="H975" s="3"/>
      <c r="I975" s="2"/>
      <c r="J975" s="29"/>
      <c r="K975" s="3"/>
      <c r="L975" s="2"/>
      <c r="M975" s="8"/>
      <c r="N975" s="3"/>
      <c r="O975" s="2"/>
      <c r="P975" s="3"/>
      <c r="Q975" s="2"/>
      <c r="R975" s="3"/>
      <c r="S975" s="3"/>
      <c r="T975" s="2"/>
      <c r="U975" s="8">
        <f t="shared" si="124"/>
        <v>0</v>
      </c>
      <c r="V975" s="8"/>
      <c r="W975" s="8"/>
      <c r="X975" s="8"/>
      <c r="Y975" s="8"/>
      <c r="Z975" s="8"/>
      <c r="AA975" s="8"/>
      <c r="AB975" s="8"/>
      <c r="AC975" s="8">
        <f t="shared" si="125"/>
        <v>0</v>
      </c>
      <c r="AD975" s="8"/>
      <c r="AE975" s="8"/>
      <c r="AF975" s="8"/>
      <c r="AG975" s="8"/>
      <c r="AH975" s="8"/>
      <c r="AI975" s="8"/>
      <c r="AJ975" s="8"/>
      <c r="AK975" s="8"/>
      <c r="AL975" s="8"/>
      <c r="AM975" s="8">
        <v>116370732</v>
      </c>
      <c r="AN975" s="8">
        <f>SUBTOTAL(9,AC975:AM975)</f>
        <v>116370732</v>
      </c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  <c r="AZ975" s="8"/>
      <c r="BA975" s="8">
        <f>VLOOKUP(B975,[1]Hoja3!J$3:K$674,2,0)</f>
        <v>10568277</v>
      </c>
      <c r="BB975" s="8"/>
      <c r="BC975" s="8">
        <f t="shared" si="126"/>
        <v>126939009</v>
      </c>
      <c r="BD975" s="4"/>
      <c r="BE975" s="4">
        <f t="shared" si="127"/>
        <v>126939009</v>
      </c>
      <c r="BF975" s="30">
        <f t="shared" si="128"/>
        <v>126939009</v>
      </c>
      <c r="BG975" s="18">
        <f t="shared" si="129"/>
        <v>0</v>
      </c>
      <c r="BH975" s="23"/>
      <c r="BI975" s="23"/>
      <c r="BJ975" s="23"/>
    </row>
    <row r="976" spans="1:66" ht="15" customHeight="1" x14ac:dyDescent="0.2">
      <c r="A976" s="1">
        <v>8902049855</v>
      </c>
      <c r="B976" s="1">
        <v>890204985</v>
      </c>
      <c r="C976" s="15">
        <v>217068770</v>
      </c>
      <c r="D976" s="16" t="s">
        <v>882</v>
      </c>
      <c r="E976" s="41" t="s">
        <v>1896</v>
      </c>
      <c r="F976" s="28"/>
      <c r="G976" s="2"/>
      <c r="H976" s="3"/>
      <c r="I976" s="2"/>
      <c r="J976" s="29"/>
      <c r="K976" s="3"/>
      <c r="L976" s="2"/>
      <c r="M976" s="8"/>
      <c r="N976" s="3"/>
      <c r="O976" s="2"/>
      <c r="P976" s="3"/>
      <c r="Q976" s="2"/>
      <c r="R976" s="3"/>
      <c r="S976" s="3"/>
      <c r="T976" s="2"/>
      <c r="U976" s="8">
        <f t="shared" si="124"/>
        <v>0</v>
      </c>
      <c r="V976" s="8"/>
      <c r="W976" s="8"/>
      <c r="X976" s="8"/>
      <c r="Y976" s="8"/>
      <c r="Z976" s="8"/>
      <c r="AA976" s="8"/>
      <c r="AB976" s="8"/>
      <c r="AC976" s="8">
        <f t="shared" si="125"/>
        <v>0</v>
      </c>
      <c r="AD976" s="8"/>
      <c r="AE976" s="8"/>
      <c r="AF976" s="8"/>
      <c r="AG976" s="8"/>
      <c r="AH976" s="8"/>
      <c r="AI976" s="8"/>
      <c r="AJ976" s="8"/>
      <c r="AK976" s="8"/>
      <c r="AL976" s="8"/>
      <c r="AM976" s="8">
        <v>186409978</v>
      </c>
      <c r="AN976" s="8">
        <f>SUBTOTAL(9,AC976:AM976)</f>
        <v>186409978</v>
      </c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>
        <v>66032560</v>
      </c>
      <c r="AZ976" s="8"/>
      <c r="BA976" s="8"/>
      <c r="BB976" s="8"/>
      <c r="BC976" s="8">
        <f t="shared" si="126"/>
        <v>252442538</v>
      </c>
      <c r="BD976" s="4">
        <v>66032560</v>
      </c>
      <c r="BE976" s="4">
        <f t="shared" si="127"/>
        <v>186409978</v>
      </c>
      <c r="BF976" s="30">
        <f t="shared" si="128"/>
        <v>252442538</v>
      </c>
      <c r="BG976" s="18">
        <f t="shared" si="129"/>
        <v>0</v>
      </c>
      <c r="BH976" s="23"/>
      <c r="BI976" s="23"/>
      <c r="BJ976" s="23"/>
    </row>
    <row r="977" spans="1:66" ht="15" customHeight="1" x14ac:dyDescent="0.2">
      <c r="A977" s="1">
        <v>8901161590</v>
      </c>
      <c r="B977" s="1">
        <v>890116159</v>
      </c>
      <c r="C977" s="15">
        <v>217008770</v>
      </c>
      <c r="D977" s="16" t="s">
        <v>178</v>
      </c>
      <c r="E977" s="41" t="s">
        <v>1207</v>
      </c>
      <c r="F977" s="28"/>
      <c r="G977" s="2"/>
      <c r="H977" s="3"/>
      <c r="I977" s="2"/>
      <c r="J977" s="29"/>
      <c r="K977" s="3"/>
      <c r="L977" s="2"/>
      <c r="M977" s="8"/>
      <c r="N977" s="3"/>
      <c r="O977" s="2"/>
      <c r="P977" s="3"/>
      <c r="Q977" s="2"/>
      <c r="R977" s="3"/>
      <c r="S977" s="3"/>
      <c r="T977" s="2"/>
      <c r="U977" s="8">
        <f t="shared" si="124"/>
        <v>0</v>
      </c>
      <c r="V977" s="8"/>
      <c r="W977" s="8"/>
      <c r="X977" s="8"/>
      <c r="Y977" s="8"/>
      <c r="Z977" s="8"/>
      <c r="AA977" s="8"/>
      <c r="AB977" s="8"/>
      <c r="AC977" s="8">
        <f t="shared" si="125"/>
        <v>0</v>
      </c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>
        <v>98230200</v>
      </c>
      <c r="AZ977" s="8"/>
      <c r="BA977" s="8">
        <f>VLOOKUP(B977,[1]Hoja3!J$3:K$674,2,0)</f>
        <v>178410922</v>
      </c>
      <c r="BB977" s="8"/>
      <c r="BC977" s="8">
        <f t="shared" si="126"/>
        <v>276641122</v>
      </c>
      <c r="BD977" s="4">
        <v>98230200</v>
      </c>
      <c r="BE977" s="4">
        <f t="shared" si="127"/>
        <v>178410922</v>
      </c>
      <c r="BF977" s="30">
        <f t="shared" si="128"/>
        <v>276641122</v>
      </c>
      <c r="BG977" s="18">
        <f t="shared" si="129"/>
        <v>0</v>
      </c>
      <c r="BH977" s="23"/>
      <c r="BI977" s="23"/>
      <c r="BJ977" s="23"/>
    </row>
    <row r="978" spans="1:66" ht="15" customHeight="1" x14ac:dyDescent="0.2">
      <c r="A978" s="1">
        <v>8001176875</v>
      </c>
      <c r="B978" s="1">
        <v>800117687</v>
      </c>
      <c r="C978" s="15">
        <v>218019780</v>
      </c>
      <c r="D978" s="16" t="s">
        <v>406</v>
      </c>
      <c r="E978" s="41" t="s">
        <v>1435</v>
      </c>
      <c r="F978" s="28"/>
      <c r="G978" s="2"/>
      <c r="H978" s="3"/>
      <c r="I978" s="2"/>
      <c r="J978" s="29"/>
      <c r="K978" s="3"/>
      <c r="L978" s="2"/>
      <c r="M978" s="8"/>
      <c r="N978" s="3"/>
      <c r="O978" s="2"/>
      <c r="P978" s="3"/>
      <c r="Q978" s="2"/>
      <c r="R978" s="3"/>
      <c r="S978" s="3"/>
      <c r="T978" s="2"/>
      <c r="U978" s="8">
        <f t="shared" si="124"/>
        <v>0</v>
      </c>
      <c r="V978" s="8"/>
      <c r="W978" s="8"/>
      <c r="X978" s="8"/>
      <c r="Y978" s="8"/>
      <c r="Z978" s="8"/>
      <c r="AA978" s="8"/>
      <c r="AB978" s="8"/>
      <c r="AC978" s="8">
        <f t="shared" si="125"/>
        <v>0</v>
      </c>
      <c r="AD978" s="8"/>
      <c r="AE978" s="8"/>
      <c r="AF978" s="8"/>
      <c r="AG978" s="8"/>
      <c r="AH978" s="8"/>
      <c r="AI978" s="8"/>
      <c r="AJ978" s="8"/>
      <c r="AK978" s="8"/>
      <c r="AL978" s="8"/>
      <c r="AM978" s="8">
        <v>23458546</v>
      </c>
      <c r="AN978" s="8">
        <f>SUBTOTAL(9,AC978:AM978)</f>
        <v>23458546</v>
      </c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>
        <f>VLOOKUP(B978,[1]Hoja3!J$3:K$674,2,0)</f>
        <v>284016236</v>
      </c>
      <c r="BB978" s="8"/>
      <c r="BC978" s="8">
        <f t="shared" si="126"/>
        <v>307474782</v>
      </c>
      <c r="BD978" s="4"/>
      <c r="BE978" s="4">
        <f t="shared" si="127"/>
        <v>307474782</v>
      </c>
      <c r="BF978" s="30">
        <f t="shared" si="128"/>
        <v>307474782</v>
      </c>
      <c r="BG978" s="18">
        <f t="shared" si="129"/>
        <v>0</v>
      </c>
      <c r="BH978" s="23"/>
      <c r="BI978" s="23"/>
      <c r="BJ978" s="23"/>
    </row>
    <row r="979" spans="1:66" ht="15" customHeight="1" x14ac:dyDescent="0.2">
      <c r="A979" s="1">
        <v>8907009780</v>
      </c>
      <c r="B979" s="1">
        <v>890700978</v>
      </c>
      <c r="C979" s="15">
        <v>217073770</v>
      </c>
      <c r="D979" s="16" t="s">
        <v>2242</v>
      </c>
      <c r="E979" s="41" t="s">
        <v>1969</v>
      </c>
      <c r="F979" s="28"/>
      <c r="G979" s="2"/>
      <c r="H979" s="3"/>
      <c r="I979" s="2"/>
      <c r="J979" s="29"/>
      <c r="K979" s="3"/>
      <c r="L979" s="2"/>
      <c r="M979" s="8"/>
      <c r="N979" s="3"/>
      <c r="O979" s="2"/>
      <c r="P979" s="3"/>
      <c r="Q979" s="2"/>
      <c r="R979" s="3"/>
      <c r="S979" s="3"/>
      <c r="T979" s="2"/>
      <c r="U979" s="8">
        <f t="shared" si="124"/>
        <v>0</v>
      </c>
      <c r="V979" s="8"/>
      <c r="W979" s="8"/>
      <c r="X979" s="8"/>
      <c r="Y979" s="8"/>
      <c r="Z979" s="8"/>
      <c r="AA979" s="8"/>
      <c r="AB979" s="8"/>
      <c r="AC979" s="8">
        <f t="shared" si="125"/>
        <v>0</v>
      </c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>
        <f>VLOOKUP(B979,[1]Hoja3!J$3:K$674,2,0)</f>
        <v>49181326</v>
      </c>
      <c r="BB979" s="8"/>
      <c r="BC979" s="8">
        <f t="shared" si="126"/>
        <v>49181326</v>
      </c>
      <c r="BD979" s="4"/>
      <c r="BE979" s="4">
        <f t="shared" si="127"/>
        <v>49181326</v>
      </c>
      <c r="BF979" s="30">
        <f t="shared" si="128"/>
        <v>49181326</v>
      </c>
      <c r="BG979" s="18">
        <f t="shared" si="129"/>
        <v>0</v>
      </c>
      <c r="BH979" s="23"/>
      <c r="BI979" s="23"/>
      <c r="BJ979" s="23"/>
    </row>
    <row r="980" spans="1:66" ht="15" customHeight="1" x14ac:dyDescent="0.2">
      <c r="A980" s="1">
        <v>8911801912</v>
      </c>
      <c r="B980" s="1">
        <v>891180191</v>
      </c>
      <c r="C980" s="15">
        <v>217041770</v>
      </c>
      <c r="D980" s="16" t="s">
        <v>621</v>
      </c>
      <c r="E980" s="41" t="s">
        <v>1641</v>
      </c>
      <c r="F980" s="28"/>
      <c r="G980" s="2"/>
      <c r="H980" s="3"/>
      <c r="I980" s="2"/>
      <c r="J980" s="29"/>
      <c r="K980" s="3"/>
      <c r="L980" s="2"/>
      <c r="M980" s="8"/>
      <c r="N980" s="3"/>
      <c r="O980" s="2"/>
      <c r="P980" s="3"/>
      <c r="Q980" s="2"/>
      <c r="R980" s="3"/>
      <c r="S980" s="3"/>
      <c r="T980" s="2"/>
      <c r="U980" s="8">
        <f t="shared" si="124"/>
        <v>0</v>
      </c>
      <c r="V980" s="8"/>
      <c r="W980" s="8"/>
      <c r="X980" s="8"/>
      <c r="Y980" s="8"/>
      <c r="Z980" s="8"/>
      <c r="AA980" s="8"/>
      <c r="AB980" s="8"/>
      <c r="AC980" s="8">
        <f t="shared" si="125"/>
        <v>0</v>
      </c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>
        <v>177353945</v>
      </c>
      <c r="AZ980" s="8"/>
      <c r="BA980" s="8">
        <f>VLOOKUP(B980,[1]Hoja3!J$3:K$674,2,0)</f>
        <v>372119955</v>
      </c>
      <c r="BB980" s="8"/>
      <c r="BC980" s="8">
        <f t="shared" si="126"/>
        <v>549473900</v>
      </c>
      <c r="BD980" s="4">
        <v>177353945</v>
      </c>
      <c r="BE980" s="4">
        <f t="shared" si="127"/>
        <v>372119955</v>
      </c>
      <c r="BF980" s="30">
        <f t="shared" si="128"/>
        <v>549473900</v>
      </c>
      <c r="BG980" s="18">
        <f t="shared" si="129"/>
        <v>0</v>
      </c>
      <c r="BH980" s="23"/>
      <c r="BI980" s="23"/>
      <c r="BJ980" s="23"/>
    </row>
    <row r="981" spans="1:66" ht="15" customHeight="1" x14ac:dyDescent="0.2">
      <c r="A981" s="1">
        <v>8999993147</v>
      </c>
      <c r="B981" s="1">
        <v>899999314</v>
      </c>
      <c r="C981" s="15">
        <v>216925769</v>
      </c>
      <c r="D981" s="16" t="s">
        <v>540</v>
      </c>
      <c r="E981" s="41" t="s">
        <v>1565</v>
      </c>
      <c r="F981" s="28"/>
      <c r="G981" s="2"/>
      <c r="H981" s="3"/>
      <c r="I981" s="2"/>
      <c r="J981" s="29"/>
      <c r="K981" s="3"/>
      <c r="L981" s="2"/>
      <c r="M981" s="8"/>
      <c r="N981" s="3"/>
      <c r="O981" s="2"/>
      <c r="P981" s="3"/>
      <c r="Q981" s="2"/>
      <c r="R981" s="3"/>
      <c r="S981" s="3"/>
      <c r="T981" s="2"/>
      <c r="U981" s="8">
        <f t="shared" si="124"/>
        <v>0</v>
      </c>
      <c r="V981" s="8"/>
      <c r="W981" s="8"/>
      <c r="X981" s="8"/>
      <c r="Y981" s="8"/>
      <c r="Z981" s="8"/>
      <c r="AA981" s="8"/>
      <c r="AB981" s="8"/>
      <c r="AC981" s="8">
        <f t="shared" si="125"/>
        <v>0</v>
      </c>
      <c r="AD981" s="8"/>
      <c r="AE981" s="8"/>
      <c r="AF981" s="8"/>
      <c r="AG981" s="8"/>
      <c r="AH981" s="8"/>
      <c r="AI981" s="8"/>
      <c r="AJ981" s="8"/>
      <c r="AK981" s="8"/>
      <c r="AL981" s="8"/>
      <c r="AM981" s="8">
        <v>170484789</v>
      </c>
      <c r="AN981" s="8">
        <f>SUBTOTAL(9,AC981:AM981)</f>
        <v>170484789</v>
      </c>
      <c r="AO981" s="8"/>
      <c r="AP981" s="8"/>
      <c r="AQ981" s="8"/>
      <c r="AR981" s="8"/>
      <c r="AS981" s="8"/>
      <c r="AT981" s="8"/>
      <c r="AU981" s="8"/>
      <c r="AV981" s="8"/>
      <c r="AW981" s="8"/>
      <c r="AX981" s="8"/>
      <c r="AY981" s="8">
        <v>78230415</v>
      </c>
      <c r="AZ981" s="8"/>
      <c r="BA981" s="8"/>
      <c r="BB981" s="8"/>
      <c r="BC981" s="8">
        <f t="shared" si="126"/>
        <v>248715204</v>
      </c>
      <c r="BD981" s="4">
        <v>78230415</v>
      </c>
      <c r="BE981" s="4">
        <f t="shared" si="127"/>
        <v>170484789</v>
      </c>
      <c r="BF981" s="30">
        <f t="shared" si="128"/>
        <v>248715204</v>
      </c>
      <c r="BG981" s="18">
        <f t="shared" si="129"/>
        <v>0</v>
      </c>
      <c r="BH981" s="23"/>
      <c r="BI981" s="23"/>
      <c r="BJ981" s="23"/>
    </row>
    <row r="982" spans="1:66" ht="15" customHeight="1" x14ac:dyDescent="0.2">
      <c r="A982" s="1">
        <v>8170034405</v>
      </c>
      <c r="B982" s="1">
        <v>817003440</v>
      </c>
      <c r="C982" s="15">
        <v>218519785</v>
      </c>
      <c r="D982" s="16" t="s">
        <v>407</v>
      </c>
      <c r="E982" s="41" t="s">
        <v>1436</v>
      </c>
      <c r="F982" s="28"/>
      <c r="G982" s="2"/>
      <c r="H982" s="3"/>
      <c r="I982" s="2"/>
      <c r="J982" s="29"/>
      <c r="K982" s="3"/>
      <c r="L982" s="2"/>
      <c r="M982" s="8"/>
      <c r="N982" s="3"/>
      <c r="O982" s="2"/>
      <c r="P982" s="3"/>
      <c r="Q982" s="2"/>
      <c r="R982" s="3"/>
      <c r="S982" s="3"/>
      <c r="T982" s="2"/>
      <c r="U982" s="8">
        <f t="shared" si="124"/>
        <v>0</v>
      </c>
      <c r="V982" s="8"/>
      <c r="W982" s="8"/>
      <c r="X982" s="8"/>
      <c r="Y982" s="8"/>
      <c r="Z982" s="8"/>
      <c r="AA982" s="8"/>
      <c r="AB982" s="8"/>
      <c r="AC982" s="8">
        <f t="shared" si="125"/>
        <v>0</v>
      </c>
      <c r="AD982" s="8"/>
      <c r="AE982" s="8"/>
      <c r="AF982" s="8"/>
      <c r="AG982" s="8"/>
      <c r="AH982" s="8"/>
      <c r="AI982" s="8"/>
      <c r="AJ982" s="8"/>
      <c r="AK982" s="8"/>
      <c r="AL982" s="8"/>
      <c r="AM982" s="8">
        <v>60893477</v>
      </c>
      <c r="AN982" s="8">
        <f>SUBTOTAL(9,AC982:AM982)</f>
        <v>60893477</v>
      </c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  <c r="BC982" s="8">
        <f t="shared" si="126"/>
        <v>60893477</v>
      </c>
      <c r="BD982" s="4"/>
      <c r="BE982" s="4">
        <f t="shared" si="127"/>
        <v>60893477</v>
      </c>
      <c r="BF982" s="30">
        <f t="shared" si="128"/>
        <v>60893477</v>
      </c>
      <c r="BG982" s="18">
        <f t="shared" si="129"/>
        <v>0</v>
      </c>
      <c r="BH982" s="23"/>
      <c r="BI982" s="23"/>
      <c r="BJ982" s="23"/>
    </row>
    <row r="983" spans="1:66" ht="15" customHeight="1" x14ac:dyDescent="0.2">
      <c r="A983" s="1">
        <v>8902108837</v>
      </c>
      <c r="B983" s="1">
        <v>890210883</v>
      </c>
      <c r="C983" s="15">
        <v>217368773</v>
      </c>
      <c r="D983" s="16" t="s">
        <v>883</v>
      </c>
      <c r="E983" s="41" t="s">
        <v>1897</v>
      </c>
      <c r="F983" s="28"/>
      <c r="G983" s="2"/>
      <c r="H983" s="3"/>
      <c r="I983" s="2"/>
      <c r="J983" s="29"/>
      <c r="K983" s="3"/>
      <c r="L983" s="2"/>
      <c r="M983" s="8"/>
      <c r="N983" s="3"/>
      <c r="O983" s="2"/>
      <c r="P983" s="3"/>
      <c r="Q983" s="2"/>
      <c r="R983" s="3"/>
      <c r="S983" s="3"/>
      <c r="T983" s="2"/>
      <c r="U983" s="8">
        <f t="shared" si="124"/>
        <v>0</v>
      </c>
      <c r="V983" s="8"/>
      <c r="W983" s="8"/>
      <c r="X983" s="8"/>
      <c r="Y983" s="8"/>
      <c r="Z983" s="8"/>
      <c r="AA983" s="8"/>
      <c r="AB983" s="8"/>
      <c r="AC983" s="8">
        <f t="shared" si="125"/>
        <v>0</v>
      </c>
      <c r="AD983" s="8"/>
      <c r="AE983" s="8"/>
      <c r="AF983" s="8"/>
      <c r="AG983" s="8"/>
      <c r="AH983" s="8"/>
      <c r="AI983" s="8"/>
      <c r="AJ983" s="8"/>
      <c r="AK983" s="8"/>
      <c r="AL983" s="8"/>
      <c r="AM983" s="8">
        <v>22689146</v>
      </c>
      <c r="AN983" s="8">
        <f>SUBTOTAL(9,AC983:AM983)</f>
        <v>22689146</v>
      </c>
      <c r="AO983" s="8"/>
      <c r="AP983" s="8"/>
      <c r="AQ983" s="8"/>
      <c r="AR983" s="8"/>
      <c r="AS983" s="8"/>
      <c r="AT983" s="8"/>
      <c r="AU983" s="8"/>
      <c r="AV983" s="8"/>
      <c r="AW983" s="8"/>
      <c r="AX983" s="8"/>
      <c r="AY983" s="8">
        <v>54516360</v>
      </c>
      <c r="AZ983" s="8"/>
      <c r="BA983" s="8">
        <f>VLOOKUP(B983,[1]Hoja3!J$3:K$674,2,0)</f>
        <v>102806712</v>
      </c>
      <c r="BB983" s="8"/>
      <c r="BC983" s="8">
        <f t="shared" si="126"/>
        <v>180012218</v>
      </c>
      <c r="BD983" s="4">
        <v>54516360</v>
      </c>
      <c r="BE983" s="4">
        <f t="shared" si="127"/>
        <v>125495858</v>
      </c>
      <c r="BF983" s="30">
        <f t="shared" si="128"/>
        <v>180012218</v>
      </c>
      <c r="BG983" s="18">
        <f t="shared" si="129"/>
        <v>0</v>
      </c>
      <c r="BH983" s="23"/>
      <c r="BI983" s="23"/>
      <c r="BJ983" s="23"/>
    </row>
    <row r="984" spans="1:66" ht="15" customHeight="1" x14ac:dyDescent="0.2">
      <c r="A984" s="1">
        <v>8922800616</v>
      </c>
      <c r="B984" s="1">
        <v>892280061</v>
      </c>
      <c r="C984" s="15">
        <v>217170771</v>
      </c>
      <c r="D984" s="16" t="s">
        <v>909</v>
      </c>
      <c r="E984" s="41" t="s">
        <v>1926</v>
      </c>
      <c r="F984" s="28"/>
      <c r="G984" s="2"/>
      <c r="H984" s="3"/>
      <c r="I984" s="2"/>
      <c r="J984" s="29"/>
      <c r="K984" s="3"/>
      <c r="L984" s="2"/>
      <c r="M984" s="8"/>
      <c r="N984" s="3"/>
      <c r="O984" s="2"/>
      <c r="P984" s="3"/>
      <c r="Q984" s="2"/>
      <c r="R984" s="3"/>
      <c r="S984" s="3"/>
      <c r="T984" s="2"/>
      <c r="U984" s="8">
        <f t="shared" si="124"/>
        <v>0</v>
      </c>
      <c r="V984" s="8"/>
      <c r="W984" s="8"/>
      <c r="X984" s="8"/>
      <c r="Y984" s="8"/>
      <c r="Z984" s="8"/>
      <c r="AA984" s="8"/>
      <c r="AB984" s="8"/>
      <c r="AC984" s="8">
        <f t="shared" si="125"/>
        <v>0</v>
      </c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  <c r="AY984" s="8">
        <v>364747885</v>
      </c>
      <c r="AZ984" s="8"/>
      <c r="BA984" s="8">
        <f>VLOOKUP(B984,[1]Hoja3!J$3:K$674,2,0)</f>
        <v>460379877</v>
      </c>
      <c r="BB984" s="8"/>
      <c r="BC984" s="8">
        <f t="shared" si="126"/>
        <v>825127762</v>
      </c>
      <c r="BD984" s="4">
        <v>364747885</v>
      </c>
      <c r="BE984" s="4">
        <f t="shared" si="127"/>
        <v>460379877</v>
      </c>
      <c r="BF984" s="30">
        <f t="shared" si="128"/>
        <v>825127762</v>
      </c>
      <c r="BG984" s="18">
        <f t="shared" si="129"/>
        <v>0</v>
      </c>
      <c r="BH984" s="23"/>
      <c r="BI984" s="23"/>
      <c r="BJ984" s="23"/>
    </row>
    <row r="985" spans="1:66" ht="15" customHeight="1" x14ac:dyDescent="0.2">
      <c r="A985" s="1">
        <v>8999994303</v>
      </c>
      <c r="B985" s="1">
        <v>899999430</v>
      </c>
      <c r="C985" s="15">
        <v>217225772</v>
      </c>
      <c r="D985" s="16" t="s">
        <v>541</v>
      </c>
      <c r="E985" s="41" t="s">
        <v>1566</v>
      </c>
      <c r="F985" s="28"/>
      <c r="G985" s="2"/>
      <c r="H985" s="3"/>
      <c r="I985" s="2"/>
      <c r="J985" s="29"/>
      <c r="K985" s="3"/>
      <c r="L985" s="2"/>
      <c r="M985" s="8"/>
      <c r="N985" s="3"/>
      <c r="O985" s="2"/>
      <c r="P985" s="3"/>
      <c r="Q985" s="2"/>
      <c r="R985" s="3"/>
      <c r="S985" s="3"/>
      <c r="T985" s="2"/>
      <c r="U985" s="8">
        <f t="shared" si="124"/>
        <v>0</v>
      </c>
      <c r="V985" s="8"/>
      <c r="W985" s="8"/>
      <c r="X985" s="8"/>
      <c r="Y985" s="8"/>
      <c r="Z985" s="8"/>
      <c r="AA985" s="8"/>
      <c r="AB985" s="8"/>
      <c r="AC985" s="8">
        <f t="shared" si="125"/>
        <v>0</v>
      </c>
      <c r="AD985" s="8"/>
      <c r="AE985" s="8"/>
      <c r="AF985" s="8"/>
      <c r="AG985" s="8"/>
      <c r="AH985" s="8"/>
      <c r="AI985" s="8"/>
      <c r="AJ985" s="8"/>
      <c r="AK985" s="8"/>
      <c r="AL985" s="8"/>
      <c r="AM985" s="8">
        <v>248371398</v>
      </c>
      <c r="AN985" s="8">
        <f>SUBTOTAL(9,AC985:AM985)</f>
        <v>248371398</v>
      </c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>
        <f>VLOOKUP(B985,'[2]anuladas en mayo gratuidad}'!K$2:L$55,2,0)</f>
        <v>171918184</v>
      </c>
      <c r="BC985" s="8">
        <f t="shared" si="126"/>
        <v>76453214</v>
      </c>
      <c r="BD985" s="4"/>
      <c r="BE985" s="4">
        <f t="shared" si="127"/>
        <v>76453214</v>
      </c>
      <c r="BF985" s="30">
        <f t="shared" si="128"/>
        <v>76453214</v>
      </c>
      <c r="BG985" s="18">
        <f t="shared" si="129"/>
        <v>0</v>
      </c>
      <c r="BH985" s="23"/>
      <c r="BI985" s="23"/>
      <c r="BJ985" s="23"/>
    </row>
    <row r="986" spans="1:66" ht="15" customHeight="1" x14ac:dyDescent="0.2">
      <c r="A986" s="1">
        <v>8999993985</v>
      </c>
      <c r="B986" s="1">
        <v>899999398</v>
      </c>
      <c r="C986" s="15">
        <v>217725777</v>
      </c>
      <c r="D986" s="16" t="s">
        <v>542</v>
      </c>
      <c r="E986" s="41" t="s">
        <v>1567</v>
      </c>
      <c r="F986" s="28"/>
      <c r="G986" s="2"/>
      <c r="H986" s="3"/>
      <c r="I986" s="2"/>
      <c r="J986" s="29"/>
      <c r="K986" s="3"/>
      <c r="L986" s="2"/>
      <c r="M986" s="8"/>
      <c r="N986" s="3"/>
      <c r="O986" s="2"/>
      <c r="P986" s="3"/>
      <c r="Q986" s="2"/>
      <c r="R986" s="3"/>
      <c r="S986" s="3"/>
      <c r="T986" s="2"/>
      <c r="U986" s="8">
        <f t="shared" si="124"/>
        <v>0</v>
      </c>
      <c r="V986" s="8"/>
      <c r="W986" s="8"/>
      <c r="X986" s="8"/>
      <c r="Y986" s="8"/>
      <c r="Z986" s="8"/>
      <c r="AA986" s="8"/>
      <c r="AB986" s="8"/>
      <c r="AC986" s="8">
        <f t="shared" si="125"/>
        <v>0</v>
      </c>
      <c r="AD986" s="8"/>
      <c r="AE986" s="8"/>
      <c r="AF986" s="8"/>
      <c r="AG986" s="8"/>
      <c r="AH986" s="8"/>
      <c r="AI986" s="8"/>
      <c r="AJ986" s="8"/>
      <c r="AK986" s="8"/>
      <c r="AL986" s="8"/>
      <c r="AM986" s="8">
        <v>87780158</v>
      </c>
      <c r="AN986" s="8">
        <f>SUBTOTAL(9,AC986:AM986)</f>
        <v>87780158</v>
      </c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>
        <f>VLOOKUP(B986,'[2]anuladas en mayo gratuidad}'!K$2:L$55,2,0)</f>
        <v>19847192</v>
      </c>
      <c r="BC986" s="8">
        <f t="shared" si="126"/>
        <v>67932966</v>
      </c>
      <c r="BD986" s="4"/>
      <c r="BE986" s="4">
        <f t="shared" si="127"/>
        <v>67932966</v>
      </c>
      <c r="BF986" s="30">
        <f t="shared" si="128"/>
        <v>67932966</v>
      </c>
      <c r="BG986" s="18">
        <f t="shared" si="129"/>
        <v>0</v>
      </c>
      <c r="BH986" s="23"/>
      <c r="BI986" s="23"/>
      <c r="BJ986" s="23"/>
    </row>
    <row r="987" spans="1:66" ht="15" customHeight="1" x14ac:dyDescent="0.2">
      <c r="A987" s="1">
        <v>8908011503</v>
      </c>
      <c r="B987" s="1">
        <v>890801150</v>
      </c>
      <c r="C987" s="15">
        <v>217717777</v>
      </c>
      <c r="D987" s="16" t="s">
        <v>358</v>
      </c>
      <c r="E987" s="41" t="s">
        <v>1387</v>
      </c>
      <c r="F987" s="28"/>
      <c r="G987" s="2"/>
      <c r="H987" s="3"/>
      <c r="I987" s="2"/>
      <c r="J987" s="29"/>
      <c r="K987" s="3"/>
      <c r="L987" s="2"/>
      <c r="M987" s="8"/>
      <c r="N987" s="3"/>
      <c r="O987" s="2"/>
      <c r="P987" s="3"/>
      <c r="Q987" s="2"/>
      <c r="R987" s="3"/>
      <c r="S987" s="3"/>
      <c r="T987" s="2"/>
      <c r="U987" s="8">
        <f t="shared" si="124"/>
        <v>0</v>
      </c>
      <c r="V987" s="8"/>
      <c r="W987" s="8"/>
      <c r="X987" s="8"/>
      <c r="Y987" s="8"/>
      <c r="Z987" s="8"/>
      <c r="AA987" s="8"/>
      <c r="AB987" s="8"/>
      <c r="AC987" s="8">
        <f t="shared" si="125"/>
        <v>0</v>
      </c>
      <c r="AD987" s="8"/>
      <c r="AE987" s="8"/>
      <c r="AF987" s="8"/>
      <c r="AG987" s="8"/>
      <c r="AH987" s="8"/>
      <c r="AI987" s="8"/>
      <c r="AJ987" s="8"/>
      <c r="AK987" s="8"/>
      <c r="AL987" s="8"/>
      <c r="AM987" s="8">
        <v>375635715</v>
      </c>
      <c r="AN987" s="8">
        <f>SUBTOTAL(9,AC987:AM987)</f>
        <v>375635715</v>
      </c>
      <c r="AO987" s="8"/>
      <c r="AP987" s="8"/>
      <c r="AQ987" s="8"/>
      <c r="AR987" s="8"/>
      <c r="AS987" s="8"/>
      <c r="AT987" s="8"/>
      <c r="AU987" s="8"/>
      <c r="AV987" s="8"/>
      <c r="AW987" s="8"/>
      <c r="AX987" s="8"/>
      <c r="AY987" s="8">
        <v>174745325</v>
      </c>
      <c r="AZ987" s="8"/>
      <c r="BA987" s="8"/>
      <c r="BB987" s="8"/>
      <c r="BC987" s="8">
        <f t="shared" si="126"/>
        <v>550381040</v>
      </c>
      <c r="BD987" s="4">
        <v>174745325</v>
      </c>
      <c r="BE987" s="4">
        <f t="shared" si="127"/>
        <v>375635715</v>
      </c>
      <c r="BF987" s="30">
        <f t="shared" si="128"/>
        <v>550381040</v>
      </c>
      <c r="BG987" s="18">
        <f t="shared" si="129"/>
        <v>0</v>
      </c>
      <c r="BH987" s="23"/>
      <c r="BI987" s="23"/>
      <c r="BJ987" s="23"/>
    </row>
    <row r="988" spans="1:66" ht="15" customHeight="1" x14ac:dyDescent="0.2">
      <c r="A988" s="1">
        <v>8902050516</v>
      </c>
      <c r="B988" s="1">
        <v>890205051</v>
      </c>
      <c r="C988" s="15">
        <v>218068780</v>
      </c>
      <c r="D988" s="16" t="s">
        <v>884</v>
      </c>
      <c r="E988" s="41" t="s">
        <v>1898</v>
      </c>
      <c r="F988" s="28"/>
      <c r="G988" s="2"/>
      <c r="H988" s="3"/>
      <c r="I988" s="2"/>
      <c r="J988" s="29"/>
      <c r="K988" s="3"/>
      <c r="L988" s="2"/>
      <c r="M988" s="8"/>
      <c r="N988" s="3"/>
      <c r="O988" s="2"/>
      <c r="P988" s="3"/>
      <c r="Q988" s="2"/>
      <c r="R988" s="3"/>
      <c r="S988" s="3"/>
      <c r="T988" s="2"/>
      <c r="U988" s="8">
        <f t="shared" si="124"/>
        <v>0</v>
      </c>
      <c r="V988" s="8"/>
      <c r="W988" s="8"/>
      <c r="X988" s="8"/>
      <c r="Y988" s="8"/>
      <c r="Z988" s="8"/>
      <c r="AA988" s="8"/>
      <c r="AB988" s="8"/>
      <c r="AC988" s="8">
        <f t="shared" si="125"/>
        <v>0</v>
      </c>
      <c r="AD988" s="8"/>
      <c r="AE988" s="8"/>
      <c r="AF988" s="8"/>
      <c r="AG988" s="8"/>
      <c r="AH988" s="8"/>
      <c r="AI988" s="8"/>
      <c r="AJ988" s="8"/>
      <c r="AK988" s="8"/>
      <c r="AL988" s="8"/>
      <c r="AM988" s="8">
        <v>11978117</v>
      </c>
      <c r="AN988" s="8">
        <f>SUBTOTAL(9,AC988:AM988)</f>
        <v>11978117</v>
      </c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>
        <v>23707425</v>
      </c>
      <c r="AZ988" s="8"/>
      <c r="BA988" s="8">
        <f>VLOOKUP(B988,[1]Hoja3!J$3:K$674,2,0)</f>
        <v>41865431</v>
      </c>
      <c r="BB988" s="8"/>
      <c r="BC988" s="8">
        <f t="shared" si="126"/>
        <v>77550973</v>
      </c>
      <c r="BD988" s="4">
        <v>23707425</v>
      </c>
      <c r="BE988" s="4">
        <f t="shared" si="127"/>
        <v>53843548</v>
      </c>
      <c r="BF988" s="30">
        <f t="shared" si="128"/>
        <v>77550973</v>
      </c>
      <c r="BG988" s="18">
        <f t="shared" si="129"/>
        <v>0</v>
      </c>
      <c r="BH988" s="23"/>
      <c r="BI988" s="23"/>
      <c r="BJ988" s="23"/>
    </row>
    <row r="989" spans="1:66" ht="15" customHeight="1" x14ac:dyDescent="0.2">
      <c r="A989" s="1">
        <v>8918564721</v>
      </c>
      <c r="B989" s="1">
        <v>891856472</v>
      </c>
      <c r="C989" s="15">
        <v>217415774</v>
      </c>
      <c r="D989" s="16" t="s">
        <v>315</v>
      </c>
      <c r="E989" s="41" t="s">
        <v>1347</v>
      </c>
      <c r="F989" s="28"/>
      <c r="G989" s="17"/>
      <c r="H989" s="3"/>
      <c r="I989" s="2"/>
      <c r="J989" s="29"/>
      <c r="K989" s="3"/>
      <c r="L989" s="17"/>
      <c r="M989" s="34"/>
      <c r="N989" s="3"/>
      <c r="O989" s="17"/>
      <c r="P989" s="3"/>
      <c r="Q989" s="2"/>
      <c r="R989" s="3"/>
      <c r="S989" s="3"/>
      <c r="T989" s="17"/>
      <c r="U989" s="8">
        <f t="shared" si="124"/>
        <v>0</v>
      </c>
      <c r="V989" s="8"/>
      <c r="W989" s="8"/>
      <c r="X989" s="8"/>
      <c r="Y989" s="8"/>
      <c r="Z989" s="8"/>
      <c r="AA989" s="8"/>
      <c r="AB989" s="8"/>
      <c r="AC989" s="8">
        <f t="shared" si="125"/>
        <v>0</v>
      </c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  <c r="AY989" s="8">
        <v>21079850</v>
      </c>
      <c r="AZ989" s="8"/>
      <c r="BA989" s="8">
        <f>VLOOKUP(B989,[1]Hoja3!J$3:K$674,2,0)</f>
        <v>31330345</v>
      </c>
      <c r="BB989" s="8"/>
      <c r="BC989" s="8">
        <f t="shared" si="126"/>
        <v>52410195</v>
      </c>
      <c r="BD989" s="4">
        <v>21079850</v>
      </c>
      <c r="BE989" s="4">
        <f t="shared" si="127"/>
        <v>31330345</v>
      </c>
      <c r="BF989" s="30">
        <f t="shared" si="128"/>
        <v>52410195</v>
      </c>
      <c r="BG989" s="18">
        <f t="shared" si="129"/>
        <v>0</v>
      </c>
      <c r="BH989" s="23"/>
      <c r="BI989" s="14"/>
      <c r="BJ989" s="14"/>
      <c r="BK989" s="14"/>
      <c r="BL989" s="14"/>
      <c r="BM989" s="14"/>
      <c r="BN989" s="14"/>
    </row>
    <row r="990" spans="1:66" ht="15" customHeight="1" x14ac:dyDescent="0.2">
      <c r="A990" s="1">
        <v>8999997007</v>
      </c>
      <c r="B990" s="1">
        <v>899999700</v>
      </c>
      <c r="C990" s="15">
        <v>217925779</v>
      </c>
      <c r="D990" s="16" t="s">
        <v>543</v>
      </c>
      <c r="E990" s="41" t="s">
        <v>1568</v>
      </c>
      <c r="F990" s="28"/>
      <c r="G990" s="2"/>
      <c r="H990" s="3"/>
      <c r="I990" s="2"/>
      <c r="J990" s="29"/>
      <c r="K990" s="3"/>
      <c r="L990" s="2"/>
      <c r="M990" s="8"/>
      <c r="N990" s="3"/>
      <c r="O990" s="2"/>
      <c r="P990" s="3"/>
      <c r="Q990" s="2"/>
      <c r="R990" s="3"/>
      <c r="S990" s="3"/>
      <c r="T990" s="2"/>
      <c r="U990" s="8">
        <f t="shared" si="124"/>
        <v>0</v>
      </c>
      <c r="V990" s="8"/>
      <c r="W990" s="8"/>
      <c r="X990" s="8"/>
      <c r="Y990" s="8"/>
      <c r="Z990" s="8"/>
      <c r="AA990" s="8"/>
      <c r="AB990" s="8"/>
      <c r="AC990" s="8">
        <f t="shared" si="125"/>
        <v>0</v>
      </c>
      <c r="AD990" s="8"/>
      <c r="AE990" s="8"/>
      <c r="AF990" s="8"/>
      <c r="AG990" s="8"/>
      <c r="AH990" s="8"/>
      <c r="AI990" s="8"/>
      <c r="AJ990" s="8"/>
      <c r="AK990" s="8"/>
      <c r="AL990" s="8"/>
      <c r="AM990" s="8">
        <v>95140953</v>
      </c>
      <c r="AN990" s="8">
        <f>SUBTOTAL(9,AC990:AM990)</f>
        <v>95140953</v>
      </c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>
        <v>38288110</v>
      </c>
      <c r="AZ990" s="8"/>
      <c r="BA990" s="8"/>
      <c r="BB990" s="8"/>
      <c r="BC990" s="8">
        <f t="shared" si="126"/>
        <v>133429063</v>
      </c>
      <c r="BD990" s="4">
        <v>38288110</v>
      </c>
      <c r="BE990" s="4">
        <f t="shared" si="127"/>
        <v>95140953</v>
      </c>
      <c r="BF990" s="30">
        <f t="shared" si="128"/>
        <v>133429063</v>
      </c>
      <c r="BG990" s="18">
        <f t="shared" si="129"/>
        <v>0</v>
      </c>
      <c r="BH990" s="23"/>
      <c r="BI990" s="23"/>
      <c r="BJ990" s="23"/>
    </row>
    <row r="991" spans="1:66" ht="15" customHeight="1" x14ac:dyDescent="0.2">
      <c r="A991" s="1">
        <v>8000309881</v>
      </c>
      <c r="B991" s="1">
        <v>800030988</v>
      </c>
      <c r="C991" s="15">
        <v>217615776</v>
      </c>
      <c r="D991" s="16" t="s">
        <v>316</v>
      </c>
      <c r="E991" s="41" t="s">
        <v>1348</v>
      </c>
      <c r="F991" s="28"/>
      <c r="G991" s="17"/>
      <c r="H991" s="3"/>
      <c r="I991" s="2"/>
      <c r="J991" s="29"/>
      <c r="K991" s="3"/>
      <c r="L991" s="17"/>
      <c r="M991" s="34"/>
      <c r="N991" s="3"/>
      <c r="O991" s="17"/>
      <c r="P991" s="3"/>
      <c r="Q991" s="2"/>
      <c r="R991" s="3"/>
      <c r="S991" s="3"/>
      <c r="T991" s="17"/>
      <c r="U991" s="8">
        <f t="shared" si="124"/>
        <v>0</v>
      </c>
      <c r="V991" s="8"/>
      <c r="W991" s="8"/>
      <c r="X991" s="8"/>
      <c r="Y991" s="8"/>
      <c r="Z991" s="8"/>
      <c r="AA991" s="8"/>
      <c r="AB991" s="8"/>
      <c r="AC991" s="8">
        <f t="shared" si="125"/>
        <v>0</v>
      </c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>
        <v>33319310</v>
      </c>
      <c r="AZ991" s="8"/>
      <c r="BA991" s="8">
        <f>VLOOKUP(B991,[1]Hoja3!J$3:K$674,2,0)</f>
        <v>79067086</v>
      </c>
      <c r="BB991" s="8"/>
      <c r="BC991" s="8">
        <f t="shared" si="126"/>
        <v>112386396</v>
      </c>
      <c r="BD991" s="4">
        <v>33319310</v>
      </c>
      <c r="BE991" s="4">
        <f t="shared" si="127"/>
        <v>79067086</v>
      </c>
      <c r="BF991" s="30">
        <f t="shared" si="128"/>
        <v>112386396</v>
      </c>
      <c r="BG991" s="18">
        <f t="shared" si="129"/>
        <v>0</v>
      </c>
      <c r="BH991" s="23"/>
      <c r="BI991" s="14"/>
      <c r="BJ991" s="14"/>
      <c r="BK991" s="14"/>
      <c r="BL991" s="14"/>
      <c r="BM991" s="14"/>
      <c r="BN991" s="14"/>
    </row>
    <row r="992" spans="1:66" ht="15" customHeight="1" x14ac:dyDescent="0.2">
      <c r="A992" s="1">
        <v>8999994761</v>
      </c>
      <c r="B992" s="1">
        <v>899999476</v>
      </c>
      <c r="C992" s="15">
        <v>218125781</v>
      </c>
      <c r="D992" s="16" t="s">
        <v>544</v>
      </c>
      <c r="E992" s="41" t="s">
        <v>1569</v>
      </c>
      <c r="F992" s="28"/>
      <c r="G992" s="2"/>
      <c r="H992" s="3"/>
      <c r="I992" s="2"/>
      <c r="J992" s="29"/>
      <c r="K992" s="3"/>
      <c r="L992" s="2"/>
      <c r="M992" s="8"/>
      <c r="N992" s="3"/>
      <c r="O992" s="2"/>
      <c r="P992" s="3"/>
      <c r="Q992" s="2"/>
      <c r="R992" s="3"/>
      <c r="S992" s="3"/>
      <c r="T992" s="2"/>
      <c r="U992" s="8">
        <f t="shared" si="124"/>
        <v>0</v>
      </c>
      <c r="V992" s="8"/>
      <c r="W992" s="8"/>
      <c r="X992" s="8"/>
      <c r="Y992" s="8"/>
      <c r="Z992" s="8"/>
      <c r="AA992" s="8"/>
      <c r="AB992" s="8"/>
      <c r="AC992" s="8">
        <f t="shared" si="125"/>
        <v>0</v>
      </c>
      <c r="AD992" s="8"/>
      <c r="AE992" s="8"/>
      <c r="AF992" s="8"/>
      <c r="AG992" s="8"/>
      <c r="AH992" s="8"/>
      <c r="AI992" s="8"/>
      <c r="AJ992" s="8"/>
      <c r="AK992" s="8"/>
      <c r="AL992" s="8"/>
      <c r="AM992" s="8">
        <v>89364597</v>
      </c>
      <c r="AN992" s="8">
        <f>SUBTOTAL(9,AC992:AM992)</f>
        <v>89364597</v>
      </c>
      <c r="AO992" s="8"/>
      <c r="AP992" s="8"/>
      <c r="AQ992" s="8"/>
      <c r="AR992" s="8"/>
      <c r="AS992" s="8"/>
      <c r="AT992" s="8"/>
      <c r="AU992" s="8"/>
      <c r="AV992" s="8"/>
      <c r="AW992" s="8"/>
      <c r="AX992" s="8"/>
      <c r="AY992" s="8"/>
      <c r="AZ992" s="8"/>
      <c r="BA992" s="8"/>
      <c r="BB992" s="8"/>
      <c r="BC992" s="8">
        <f t="shared" si="126"/>
        <v>89364597</v>
      </c>
      <c r="BD992" s="4"/>
      <c r="BE992" s="4">
        <f t="shared" si="127"/>
        <v>89364597</v>
      </c>
      <c r="BF992" s="30">
        <f t="shared" si="128"/>
        <v>89364597</v>
      </c>
      <c r="BG992" s="18">
        <f t="shared" si="129"/>
        <v>0</v>
      </c>
      <c r="BH992" s="23"/>
      <c r="BI992" s="23"/>
      <c r="BJ992" s="23"/>
    </row>
    <row r="993" spans="1:66" ht="15" customHeight="1" x14ac:dyDescent="0.2">
      <c r="A993" s="1">
        <v>8000285764</v>
      </c>
      <c r="B993" s="1">
        <v>800028576</v>
      </c>
      <c r="C993" s="15">
        <v>217815778</v>
      </c>
      <c r="D993" s="16" t="s">
        <v>317</v>
      </c>
      <c r="E993" s="41" t="s">
        <v>1349</v>
      </c>
      <c r="F993" s="28"/>
      <c r="G993" s="17"/>
      <c r="H993" s="3"/>
      <c r="I993" s="2"/>
      <c r="J993" s="29"/>
      <c r="K993" s="3"/>
      <c r="L993" s="17"/>
      <c r="M993" s="34"/>
      <c r="N993" s="3"/>
      <c r="O993" s="17"/>
      <c r="P993" s="3"/>
      <c r="Q993" s="2"/>
      <c r="R993" s="3"/>
      <c r="S993" s="3"/>
      <c r="T993" s="17"/>
      <c r="U993" s="8">
        <f t="shared" si="124"/>
        <v>0</v>
      </c>
      <c r="V993" s="8"/>
      <c r="W993" s="8"/>
      <c r="X993" s="8"/>
      <c r="Y993" s="8"/>
      <c r="Z993" s="8"/>
      <c r="AA993" s="8"/>
      <c r="AB993" s="8"/>
      <c r="AC993" s="8">
        <f t="shared" si="125"/>
        <v>0</v>
      </c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  <c r="AY993" s="8">
        <v>28178435</v>
      </c>
      <c r="AZ993" s="8"/>
      <c r="BA993" s="8">
        <f>VLOOKUP(B993,[1]Hoja3!J$3:K$674,2,0)</f>
        <v>39589037</v>
      </c>
      <c r="BB993" s="8"/>
      <c r="BC993" s="8">
        <f t="shared" si="126"/>
        <v>67767472</v>
      </c>
      <c r="BD993" s="4">
        <v>28178435</v>
      </c>
      <c r="BE993" s="4">
        <f t="shared" si="127"/>
        <v>39589037</v>
      </c>
      <c r="BF993" s="30">
        <f t="shared" si="128"/>
        <v>67767472</v>
      </c>
      <c r="BG993" s="18">
        <f t="shared" si="129"/>
        <v>0</v>
      </c>
      <c r="BH993" s="23"/>
      <c r="BI993" s="14"/>
      <c r="BJ993" s="14"/>
      <c r="BK993" s="14"/>
      <c r="BL993" s="14"/>
      <c r="BM993" s="14"/>
      <c r="BN993" s="14"/>
    </row>
    <row r="994" spans="1:66" ht="15" customHeight="1" x14ac:dyDescent="0.2">
      <c r="A994" s="1">
        <v>8999994439</v>
      </c>
      <c r="B994" s="1">
        <v>899999443</v>
      </c>
      <c r="C994" s="15">
        <v>218525785</v>
      </c>
      <c r="D994" s="16" t="s">
        <v>545</v>
      </c>
      <c r="E994" s="41" t="s">
        <v>1570</v>
      </c>
      <c r="F994" s="28"/>
      <c r="G994" s="2"/>
      <c r="H994" s="3"/>
      <c r="I994" s="2"/>
      <c r="J994" s="29"/>
      <c r="K994" s="3"/>
      <c r="L994" s="2"/>
      <c r="M994" s="8"/>
      <c r="N994" s="3"/>
      <c r="O994" s="2"/>
      <c r="P994" s="3"/>
      <c r="Q994" s="2"/>
      <c r="R994" s="3"/>
      <c r="S994" s="3"/>
      <c r="T994" s="2"/>
      <c r="U994" s="8">
        <f t="shared" si="124"/>
        <v>0</v>
      </c>
      <c r="V994" s="8"/>
      <c r="W994" s="8"/>
      <c r="X994" s="8"/>
      <c r="Y994" s="8"/>
      <c r="Z994" s="8"/>
      <c r="AA994" s="8"/>
      <c r="AB994" s="8"/>
      <c r="AC994" s="8">
        <f t="shared" si="125"/>
        <v>0</v>
      </c>
      <c r="AD994" s="8"/>
      <c r="AE994" s="8"/>
      <c r="AF994" s="8"/>
      <c r="AG994" s="8"/>
      <c r="AH994" s="8"/>
      <c r="AI994" s="8"/>
      <c r="AJ994" s="8"/>
      <c r="AK994" s="8"/>
      <c r="AL994" s="8"/>
      <c r="AM994" s="8">
        <v>238126036</v>
      </c>
      <c r="AN994" s="8">
        <f t="shared" ref="AN994:AN1002" si="130">SUBTOTAL(9,AC994:AM994)</f>
        <v>238126036</v>
      </c>
      <c r="AO994" s="8"/>
      <c r="AP994" s="8"/>
      <c r="AQ994" s="8"/>
      <c r="AR994" s="8"/>
      <c r="AS994" s="8"/>
      <c r="AT994" s="8"/>
      <c r="AU994" s="8"/>
      <c r="AV994" s="8"/>
      <c r="AW994" s="8"/>
      <c r="AX994" s="8"/>
      <c r="AY994" s="8">
        <v>95623770</v>
      </c>
      <c r="AZ994" s="8"/>
      <c r="BA994" s="8"/>
      <c r="BB994" s="8"/>
      <c r="BC994" s="8">
        <f t="shared" si="126"/>
        <v>333749806</v>
      </c>
      <c r="BD994" s="4">
        <v>95623770</v>
      </c>
      <c r="BE994" s="4">
        <f t="shared" si="127"/>
        <v>238126036</v>
      </c>
      <c r="BF994" s="30">
        <f t="shared" si="128"/>
        <v>333749806</v>
      </c>
      <c r="BG994" s="18">
        <f t="shared" si="129"/>
        <v>0</v>
      </c>
      <c r="BH994" s="23"/>
      <c r="BI994" s="23"/>
      <c r="BJ994" s="23"/>
    </row>
    <row r="995" spans="1:66" ht="15" customHeight="1" x14ac:dyDescent="0.2">
      <c r="A995" s="1">
        <v>8916800816</v>
      </c>
      <c r="B995" s="1">
        <v>891680081</v>
      </c>
      <c r="C995" s="15">
        <v>218727787</v>
      </c>
      <c r="D995" s="16" t="s">
        <v>590</v>
      </c>
      <c r="E995" s="41" t="s">
        <v>1612</v>
      </c>
      <c r="F995" s="28"/>
      <c r="G995" s="2"/>
      <c r="H995" s="3"/>
      <c r="I995" s="2"/>
      <c r="J995" s="29"/>
      <c r="K995" s="3"/>
      <c r="L995" s="2"/>
      <c r="M995" s="8"/>
      <c r="N995" s="3"/>
      <c r="O995" s="2"/>
      <c r="P995" s="3"/>
      <c r="Q995" s="2"/>
      <c r="R995" s="3"/>
      <c r="S995" s="3"/>
      <c r="T995" s="2"/>
      <c r="U995" s="8">
        <f t="shared" si="124"/>
        <v>0</v>
      </c>
      <c r="V995" s="8"/>
      <c r="W995" s="8"/>
      <c r="X995" s="8"/>
      <c r="Y995" s="8"/>
      <c r="Z995" s="8"/>
      <c r="AA995" s="8"/>
      <c r="AB995" s="8"/>
      <c r="AC995" s="8">
        <f t="shared" si="125"/>
        <v>0</v>
      </c>
      <c r="AD995" s="8"/>
      <c r="AE995" s="8"/>
      <c r="AF995" s="8"/>
      <c r="AG995" s="8"/>
      <c r="AH995" s="8"/>
      <c r="AI995" s="8"/>
      <c r="AJ995" s="8"/>
      <c r="AK995" s="8"/>
      <c r="AL995" s="8"/>
      <c r="AM995" s="8">
        <v>343540415</v>
      </c>
      <c r="AN995" s="8">
        <f t="shared" si="130"/>
        <v>343540415</v>
      </c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>
        <v>357004055</v>
      </c>
      <c r="AZ995" s="8"/>
      <c r="BA995" s="8"/>
      <c r="BB995" s="8"/>
      <c r="BC995" s="8">
        <f t="shared" si="126"/>
        <v>700544470</v>
      </c>
      <c r="BD995" s="4">
        <v>357004055</v>
      </c>
      <c r="BE995" s="4">
        <f t="shared" si="127"/>
        <v>343540415</v>
      </c>
      <c r="BF995" s="30">
        <f t="shared" si="128"/>
        <v>700544470</v>
      </c>
      <c r="BG995" s="18">
        <f t="shared" si="129"/>
        <v>0</v>
      </c>
      <c r="BH995" s="23"/>
      <c r="BI995" s="23"/>
      <c r="BJ995" s="23"/>
    </row>
    <row r="996" spans="1:66" ht="15" customHeight="1" x14ac:dyDescent="0.2">
      <c r="A996" s="1">
        <v>8000955301</v>
      </c>
      <c r="B996" s="1">
        <v>800095530</v>
      </c>
      <c r="C996" s="15">
        <v>218013780</v>
      </c>
      <c r="D996" s="16" t="s">
        <v>211</v>
      </c>
      <c r="E996" s="41" t="s">
        <v>1246</v>
      </c>
      <c r="F996" s="28"/>
      <c r="G996" s="17"/>
      <c r="H996" s="3"/>
      <c r="I996" s="2"/>
      <c r="J996" s="29"/>
      <c r="K996" s="3"/>
      <c r="L996" s="17"/>
      <c r="M996" s="34"/>
      <c r="N996" s="3"/>
      <c r="O996" s="17"/>
      <c r="P996" s="3"/>
      <c r="Q996" s="2"/>
      <c r="R996" s="3"/>
      <c r="S996" s="3"/>
      <c r="T996" s="17"/>
      <c r="U996" s="8">
        <f t="shared" si="124"/>
        <v>0</v>
      </c>
      <c r="V996" s="8"/>
      <c r="W996" s="8"/>
      <c r="X996" s="8"/>
      <c r="Y996" s="8"/>
      <c r="Z996" s="8"/>
      <c r="AA996" s="8"/>
      <c r="AB996" s="8"/>
      <c r="AC996" s="8">
        <f t="shared" si="125"/>
        <v>0</v>
      </c>
      <c r="AD996" s="8"/>
      <c r="AE996" s="8"/>
      <c r="AF996" s="8"/>
      <c r="AG996" s="8"/>
      <c r="AH996" s="8"/>
      <c r="AI996" s="8"/>
      <c r="AJ996" s="8"/>
      <c r="AK996" s="8"/>
      <c r="AL996" s="8"/>
      <c r="AM996" s="8">
        <v>268965705</v>
      </c>
      <c r="AN996" s="8">
        <f t="shared" si="130"/>
        <v>268965705</v>
      </c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  <c r="BC996" s="8">
        <f t="shared" si="126"/>
        <v>268965705</v>
      </c>
      <c r="BD996" s="4"/>
      <c r="BE996" s="4">
        <f t="shared" si="127"/>
        <v>268965705</v>
      </c>
      <c r="BF996" s="30">
        <f t="shared" si="128"/>
        <v>268965705</v>
      </c>
      <c r="BG996" s="18">
        <f t="shared" si="129"/>
        <v>0</v>
      </c>
      <c r="BH996" s="23"/>
      <c r="BI996" s="14"/>
      <c r="BJ996" s="14"/>
      <c r="BK996" s="14"/>
      <c r="BL996" s="14"/>
      <c r="BM996" s="14"/>
      <c r="BN996" s="14"/>
    </row>
    <row r="997" spans="1:66" ht="15" customHeight="1" x14ac:dyDescent="0.2">
      <c r="A997" s="1">
        <v>8000966264</v>
      </c>
      <c r="B997" s="1">
        <v>800096626</v>
      </c>
      <c r="C997" s="15">
        <v>218720787</v>
      </c>
      <c r="D997" s="16" t="s">
        <v>436</v>
      </c>
      <c r="E997" s="41" t="s">
        <v>1463</v>
      </c>
      <c r="F997" s="28"/>
      <c r="G997" s="2"/>
      <c r="H997" s="3"/>
      <c r="I997" s="2"/>
      <c r="J997" s="29"/>
      <c r="K997" s="3"/>
      <c r="L997" s="2"/>
      <c r="M997" s="8"/>
      <c r="N997" s="3"/>
      <c r="O997" s="2"/>
      <c r="P997" s="3"/>
      <c r="Q997" s="2"/>
      <c r="R997" s="3"/>
      <c r="S997" s="3"/>
      <c r="T997" s="2"/>
      <c r="U997" s="8">
        <f t="shared" si="124"/>
        <v>0</v>
      </c>
      <c r="V997" s="8"/>
      <c r="W997" s="8"/>
      <c r="X997" s="8"/>
      <c r="Y997" s="8"/>
      <c r="Z997" s="8"/>
      <c r="AA997" s="8"/>
      <c r="AB997" s="8"/>
      <c r="AC997" s="8">
        <f t="shared" si="125"/>
        <v>0</v>
      </c>
      <c r="AD997" s="8"/>
      <c r="AE997" s="8"/>
      <c r="AF997" s="8"/>
      <c r="AG997" s="8"/>
      <c r="AH997" s="8"/>
      <c r="AI997" s="8"/>
      <c r="AJ997" s="8"/>
      <c r="AK997" s="8"/>
      <c r="AL997" s="8"/>
      <c r="AM997" s="8">
        <v>75624008</v>
      </c>
      <c r="AN997" s="8">
        <f t="shared" si="130"/>
        <v>75624008</v>
      </c>
      <c r="AO997" s="8"/>
      <c r="AP997" s="8"/>
      <c r="AQ997" s="8"/>
      <c r="AR997" s="8"/>
      <c r="AS997" s="8"/>
      <c r="AT997" s="8"/>
      <c r="AU997" s="8"/>
      <c r="AV997" s="8"/>
      <c r="AW997" s="8"/>
      <c r="AX997" s="8"/>
      <c r="AY997" s="8">
        <v>214612065</v>
      </c>
      <c r="AZ997" s="8"/>
      <c r="BA997" s="8">
        <f>VLOOKUP(B997,[1]Hoja3!J$3:K$674,2,0)</f>
        <v>268230529</v>
      </c>
      <c r="BB997" s="8"/>
      <c r="BC997" s="8">
        <f t="shared" si="126"/>
        <v>558466602</v>
      </c>
      <c r="BD997" s="4">
        <v>214612065</v>
      </c>
      <c r="BE997" s="4">
        <f t="shared" si="127"/>
        <v>343854537</v>
      </c>
      <c r="BF997" s="30">
        <f t="shared" si="128"/>
        <v>558466602</v>
      </c>
      <c r="BG997" s="18">
        <f t="shared" si="129"/>
        <v>0</v>
      </c>
      <c r="BH997" s="23"/>
      <c r="BI997" s="23"/>
      <c r="BJ997" s="23"/>
    </row>
    <row r="998" spans="1:66" ht="15" customHeight="1" x14ac:dyDescent="0.2">
      <c r="A998" s="1">
        <v>8000994319</v>
      </c>
      <c r="B998" s="1">
        <v>800099431</v>
      </c>
      <c r="C998" s="15">
        <v>210085400</v>
      </c>
      <c r="D998" s="16" t="s">
        <v>970</v>
      </c>
      <c r="E998" s="41" t="s">
        <v>2030</v>
      </c>
      <c r="F998" s="28"/>
      <c r="G998" s="2"/>
      <c r="H998" s="3"/>
      <c r="I998" s="2"/>
      <c r="J998" s="29"/>
      <c r="K998" s="3"/>
      <c r="L998" s="2"/>
      <c r="M998" s="8"/>
      <c r="N998" s="3"/>
      <c r="O998" s="2"/>
      <c r="P998" s="3"/>
      <c r="Q998" s="2"/>
      <c r="R998" s="3"/>
      <c r="S998" s="3"/>
      <c r="T998" s="2"/>
      <c r="U998" s="8">
        <f t="shared" si="124"/>
        <v>0</v>
      </c>
      <c r="V998" s="8"/>
      <c r="W998" s="8"/>
      <c r="X998" s="8"/>
      <c r="Y998" s="8"/>
      <c r="Z998" s="8"/>
      <c r="AA998" s="8"/>
      <c r="AB998" s="8"/>
      <c r="AC998" s="8">
        <f t="shared" si="125"/>
        <v>0</v>
      </c>
      <c r="AD998" s="8"/>
      <c r="AE998" s="8"/>
      <c r="AF998" s="8"/>
      <c r="AG998" s="8"/>
      <c r="AH998" s="8"/>
      <c r="AI998" s="8"/>
      <c r="AJ998" s="8"/>
      <c r="AK998" s="8"/>
      <c r="AL998" s="8"/>
      <c r="AM998" s="8">
        <v>117022903</v>
      </c>
      <c r="AN998" s="8">
        <f t="shared" si="130"/>
        <v>117022903</v>
      </c>
      <c r="AO998" s="8"/>
      <c r="AP998" s="8"/>
      <c r="AQ998" s="8"/>
      <c r="AR998" s="8"/>
      <c r="AS998" s="8"/>
      <c r="AT998" s="8"/>
      <c r="AU998" s="8"/>
      <c r="AV998" s="8"/>
      <c r="AW998" s="8"/>
      <c r="AX998" s="8"/>
      <c r="AY998" s="8">
        <v>91754200</v>
      </c>
      <c r="AZ998" s="8"/>
      <c r="BA998" s="8">
        <f>VLOOKUP(B998,[1]Hoja3!J$3:K$674,2,0)</f>
        <v>12368548</v>
      </c>
      <c r="BB998" s="8"/>
      <c r="BC998" s="8">
        <f t="shared" si="126"/>
        <v>221145651</v>
      </c>
      <c r="BD998" s="4">
        <v>91754200</v>
      </c>
      <c r="BE998" s="4">
        <f t="shared" si="127"/>
        <v>129391451</v>
      </c>
      <c r="BF998" s="30">
        <f t="shared" si="128"/>
        <v>221145651</v>
      </c>
      <c r="BG998" s="18">
        <f t="shared" si="129"/>
        <v>0</v>
      </c>
      <c r="BH998" s="23"/>
      <c r="BI998" s="23"/>
      <c r="BJ998" s="23"/>
    </row>
    <row r="999" spans="1:66" ht="15" customHeight="1" x14ac:dyDescent="0.2">
      <c r="A999" s="1">
        <v>8001028013</v>
      </c>
      <c r="B999" s="1">
        <v>800102801</v>
      </c>
      <c r="C999" s="15">
        <v>219481794</v>
      </c>
      <c r="D999" s="16" t="s">
        <v>954</v>
      </c>
      <c r="E999" s="41" t="s">
        <v>2015</v>
      </c>
      <c r="F999" s="28"/>
      <c r="G999" s="2"/>
      <c r="H999" s="3"/>
      <c r="I999" s="2"/>
      <c r="J999" s="29"/>
      <c r="K999" s="3"/>
      <c r="L999" s="2"/>
      <c r="M999" s="8"/>
      <c r="N999" s="3"/>
      <c r="O999" s="2"/>
      <c r="P999" s="3"/>
      <c r="Q999" s="2"/>
      <c r="R999" s="3"/>
      <c r="S999" s="3"/>
      <c r="T999" s="2"/>
      <c r="U999" s="8">
        <f t="shared" si="124"/>
        <v>0</v>
      </c>
      <c r="V999" s="8"/>
      <c r="W999" s="8"/>
      <c r="X999" s="8"/>
      <c r="Y999" s="8"/>
      <c r="Z999" s="8"/>
      <c r="AA999" s="8"/>
      <c r="AB999" s="8"/>
      <c r="AC999" s="8">
        <f t="shared" si="125"/>
        <v>0</v>
      </c>
      <c r="AD999" s="8"/>
      <c r="AE999" s="8"/>
      <c r="AF999" s="8"/>
      <c r="AG999" s="8"/>
      <c r="AH999" s="8"/>
      <c r="AI999" s="8"/>
      <c r="AJ999" s="8"/>
      <c r="AK999" s="8"/>
      <c r="AL999" s="8"/>
      <c r="AM999" s="8">
        <v>229030789</v>
      </c>
      <c r="AN999" s="8">
        <f t="shared" si="130"/>
        <v>229030789</v>
      </c>
      <c r="AO999" s="8"/>
      <c r="AP999" s="8"/>
      <c r="AQ999" s="8"/>
      <c r="AR999" s="8"/>
      <c r="AS999" s="8"/>
      <c r="AT999" s="8"/>
      <c r="AU999" s="8"/>
      <c r="AV999" s="8"/>
      <c r="AW999" s="8"/>
      <c r="AX999" s="8"/>
      <c r="AY999" s="8">
        <v>819104160</v>
      </c>
      <c r="AZ999" s="8"/>
      <c r="BA999" s="8">
        <f>VLOOKUP(B999,[1]Hoja3!J$3:K$674,2,0)</f>
        <v>785550710</v>
      </c>
      <c r="BB999" s="8"/>
      <c r="BC999" s="8">
        <f t="shared" si="126"/>
        <v>1833685659</v>
      </c>
      <c r="BD999" s="4">
        <v>819104160</v>
      </c>
      <c r="BE999" s="4">
        <f t="shared" si="127"/>
        <v>1014581499</v>
      </c>
      <c r="BF999" s="30">
        <f t="shared" si="128"/>
        <v>1833685659</v>
      </c>
      <c r="BG999" s="18">
        <f t="shared" si="129"/>
        <v>0</v>
      </c>
      <c r="BH999" s="23"/>
      <c r="BI999" s="23"/>
      <c r="BJ999" s="23"/>
    </row>
    <row r="1000" spans="1:66" ht="15" customHeight="1" x14ac:dyDescent="0.2">
      <c r="A1000" s="1">
        <v>8909812383</v>
      </c>
      <c r="B1000" s="1">
        <v>890981238</v>
      </c>
      <c r="C1000" s="15">
        <v>218905789</v>
      </c>
      <c r="D1000" s="16" t="s">
        <v>144</v>
      </c>
      <c r="E1000" s="41" t="s">
        <v>1173</v>
      </c>
      <c r="F1000" s="28"/>
      <c r="G1000" s="2"/>
      <c r="H1000" s="3"/>
      <c r="I1000" s="2"/>
      <c r="J1000" s="29"/>
      <c r="K1000" s="3"/>
      <c r="L1000" s="2"/>
      <c r="M1000" s="8"/>
      <c r="N1000" s="3"/>
      <c r="O1000" s="2"/>
      <c r="P1000" s="3"/>
      <c r="Q1000" s="2"/>
      <c r="R1000" s="3"/>
      <c r="S1000" s="3"/>
      <c r="T1000" s="2"/>
      <c r="U1000" s="8">
        <f t="shared" si="124"/>
        <v>0</v>
      </c>
      <c r="V1000" s="8"/>
      <c r="W1000" s="8"/>
      <c r="X1000" s="8"/>
      <c r="Y1000" s="8"/>
      <c r="Z1000" s="8"/>
      <c r="AA1000" s="8"/>
      <c r="AB1000" s="8"/>
      <c r="AC1000" s="8">
        <f t="shared" si="125"/>
        <v>0</v>
      </c>
      <c r="AD1000" s="8"/>
      <c r="AE1000" s="8"/>
      <c r="AF1000" s="8"/>
      <c r="AG1000" s="8"/>
      <c r="AH1000" s="8"/>
      <c r="AI1000" s="8"/>
      <c r="AJ1000" s="8"/>
      <c r="AK1000" s="8"/>
      <c r="AL1000" s="8"/>
      <c r="AM1000" s="8">
        <v>167444705</v>
      </c>
      <c r="AN1000" s="8">
        <f t="shared" si="130"/>
        <v>167444705</v>
      </c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  <c r="AY1000" s="8">
        <v>102264050</v>
      </c>
      <c r="AZ1000" s="8"/>
      <c r="BA1000" s="8">
        <f>VLOOKUP(B1000,[1]Hoja3!J$3:K$674,2,0)</f>
        <v>66896464</v>
      </c>
      <c r="BB1000" s="8"/>
      <c r="BC1000" s="8">
        <f t="shared" si="126"/>
        <v>336605219</v>
      </c>
      <c r="BD1000" s="4">
        <v>102264050</v>
      </c>
      <c r="BE1000" s="4">
        <f t="shared" si="127"/>
        <v>234341169</v>
      </c>
      <c r="BF1000" s="30">
        <f t="shared" si="128"/>
        <v>336605219</v>
      </c>
      <c r="BG1000" s="18">
        <f t="shared" si="129"/>
        <v>0</v>
      </c>
      <c r="BH1000" s="23"/>
      <c r="BI1000" s="23"/>
      <c r="BJ1000" s="23"/>
    </row>
    <row r="1001" spans="1:66" ht="15" customHeight="1" x14ac:dyDescent="0.2">
      <c r="A1001" s="1">
        <v>8000249776</v>
      </c>
      <c r="B1001" s="1">
        <v>800024977</v>
      </c>
      <c r="C1001" s="15">
        <v>218652786</v>
      </c>
      <c r="D1001" s="16" t="s">
        <v>747</v>
      </c>
      <c r="E1001" s="41" t="s">
        <v>1768</v>
      </c>
      <c r="F1001" s="28"/>
      <c r="G1001" s="2"/>
      <c r="H1001" s="3"/>
      <c r="I1001" s="2"/>
      <c r="J1001" s="29"/>
      <c r="K1001" s="3"/>
      <c r="L1001" s="2"/>
      <c r="M1001" s="8"/>
      <c r="N1001" s="3"/>
      <c r="O1001" s="2"/>
      <c r="P1001" s="3"/>
      <c r="Q1001" s="2"/>
      <c r="R1001" s="3"/>
      <c r="S1001" s="3"/>
      <c r="T1001" s="2"/>
      <c r="U1001" s="8">
        <f t="shared" si="124"/>
        <v>0</v>
      </c>
      <c r="V1001" s="8"/>
      <c r="W1001" s="8"/>
      <c r="X1001" s="8"/>
      <c r="Y1001" s="8"/>
      <c r="Z1001" s="8"/>
      <c r="AA1001" s="8"/>
      <c r="AB1001" s="8"/>
      <c r="AC1001" s="8">
        <f t="shared" si="125"/>
        <v>0</v>
      </c>
      <c r="AD1001" s="8"/>
      <c r="AE1001" s="8"/>
      <c r="AF1001" s="8"/>
      <c r="AG1001" s="8"/>
      <c r="AH1001" s="8"/>
      <c r="AI1001" s="8"/>
      <c r="AJ1001" s="8"/>
      <c r="AK1001" s="8"/>
      <c r="AL1001" s="8"/>
      <c r="AM1001" s="8">
        <v>106014191</v>
      </c>
      <c r="AN1001" s="8">
        <f t="shared" si="130"/>
        <v>106014191</v>
      </c>
      <c r="AO1001" s="8"/>
      <c r="AP1001" s="8"/>
      <c r="AQ1001" s="8"/>
      <c r="AR1001" s="8"/>
      <c r="AS1001" s="8"/>
      <c r="AT1001" s="8"/>
      <c r="AU1001" s="8"/>
      <c r="AV1001" s="8"/>
      <c r="AW1001" s="8"/>
      <c r="AX1001" s="8"/>
      <c r="AY1001" s="8">
        <v>140064555</v>
      </c>
      <c r="AZ1001" s="8"/>
      <c r="BA1001" s="8">
        <f>VLOOKUP(B1001,[1]Hoja3!J$3:K$674,2,0)</f>
        <v>173024594</v>
      </c>
      <c r="BB1001" s="8"/>
      <c r="BC1001" s="8">
        <f t="shared" si="126"/>
        <v>419103340</v>
      </c>
      <c r="BD1001" s="4">
        <v>140064555</v>
      </c>
      <c r="BE1001" s="4">
        <f t="shared" si="127"/>
        <v>279038785</v>
      </c>
      <c r="BF1001" s="30">
        <f t="shared" si="128"/>
        <v>419103340</v>
      </c>
      <c r="BG1001" s="18">
        <f t="shared" si="129"/>
        <v>0</v>
      </c>
      <c r="BH1001" s="23"/>
      <c r="BI1001" s="23"/>
      <c r="BJ1001" s="23"/>
    </row>
    <row r="1002" spans="1:66" ht="15" customHeight="1" x14ac:dyDescent="0.2">
      <c r="A1002" s="1">
        <v>8000991511</v>
      </c>
      <c r="B1002" s="1">
        <v>800099151</v>
      </c>
      <c r="C1002" s="15">
        <v>218852788</v>
      </c>
      <c r="D1002" s="16" t="s">
        <v>748</v>
      </c>
      <c r="E1002" s="41" t="s">
        <v>1769</v>
      </c>
      <c r="F1002" s="28"/>
      <c r="G1002" s="2"/>
      <c r="H1002" s="3"/>
      <c r="I1002" s="2"/>
      <c r="J1002" s="29"/>
      <c r="K1002" s="3"/>
      <c r="L1002" s="2"/>
      <c r="M1002" s="8"/>
      <c r="N1002" s="3"/>
      <c r="O1002" s="2"/>
      <c r="P1002" s="3"/>
      <c r="Q1002" s="2"/>
      <c r="R1002" s="3"/>
      <c r="S1002" s="3"/>
      <c r="T1002" s="2"/>
      <c r="U1002" s="8">
        <f t="shared" si="124"/>
        <v>0</v>
      </c>
      <c r="V1002" s="8"/>
      <c r="W1002" s="8"/>
      <c r="X1002" s="8"/>
      <c r="Y1002" s="8"/>
      <c r="Z1002" s="8"/>
      <c r="AA1002" s="8"/>
      <c r="AB1002" s="8"/>
      <c r="AC1002" s="8">
        <f t="shared" si="125"/>
        <v>0</v>
      </c>
      <c r="AD1002" s="8"/>
      <c r="AE1002" s="8"/>
      <c r="AF1002" s="8"/>
      <c r="AG1002" s="8"/>
      <c r="AH1002" s="8"/>
      <c r="AI1002" s="8"/>
      <c r="AJ1002" s="8"/>
      <c r="AK1002" s="8"/>
      <c r="AL1002" s="8"/>
      <c r="AM1002" s="8">
        <v>128455862</v>
      </c>
      <c r="AN1002" s="8">
        <f t="shared" si="130"/>
        <v>128455862</v>
      </c>
      <c r="AO1002" s="8"/>
      <c r="AP1002" s="8"/>
      <c r="AQ1002" s="8"/>
      <c r="AR1002" s="8"/>
      <c r="AS1002" s="8"/>
      <c r="AT1002" s="8"/>
      <c r="AU1002" s="8"/>
      <c r="AV1002" s="8"/>
      <c r="AW1002" s="8"/>
      <c r="AX1002" s="8"/>
      <c r="AY1002" s="8">
        <v>63917180</v>
      </c>
      <c r="AZ1002" s="8"/>
      <c r="BA1002" s="8"/>
      <c r="BB1002" s="8"/>
      <c r="BC1002" s="8">
        <f t="shared" si="126"/>
        <v>192373042</v>
      </c>
      <c r="BD1002" s="4">
        <v>63917180</v>
      </c>
      <c r="BE1002" s="4">
        <f t="shared" si="127"/>
        <v>128455862</v>
      </c>
      <c r="BF1002" s="30">
        <f t="shared" si="128"/>
        <v>192373042</v>
      </c>
      <c r="BG1002" s="18">
        <f t="shared" si="129"/>
        <v>0</v>
      </c>
      <c r="BH1002" s="23"/>
      <c r="BI1002" s="23"/>
      <c r="BJ1002" s="23"/>
    </row>
    <row r="1003" spans="1:66" ht="15" hidden="1" customHeight="1" x14ac:dyDescent="0.2">
      <c r="A1003" s="1">
        <v>8320002194</v>
      </c>
      <c r="B1003" s="1">
        <v>832000219</v>
      </c>
      <c r="C1003" s="15">
        <v>216697666</v>
      </c>
      <c r="D1003" s="16" t="s">
        <v>996</v>
      </c>
      <c r="E1003" s="41" t="s">
        <v>2054</v>
      </c>
      <c r="F1003" s="28"/>
      <c r="G1003" s="17"/>
      <c r="H1003" s="3"/>
      <c r="I1003" s="2"/>
      <c r="J1003" s="29"/>
      <c r="K1003" s="3"/>
      <c r="L1003" s="17"/>
      <c r="M1003" s="34"/>
      <c r="N1003" s="3"/>
      <c r="O1003" s="17"/>
      <c r="P1003" s="3"/>
      <c r="Q1003" s="2"/>
      <c r="R1003" s="3"/>
      <c r="S1003" s="3"/>
      <c r="T1003" s="17"/>
      <c r="U1003" s="8">
        <f t="shared" si="124"/>
        <v>0</v>
      </c>
      <c r="V1003" s="8"/>
      <c r="W1003" s="8"/>
      <c r="X1003" s="8"/>
      <c r="Y1003" s="8"/>
      <c r="Z1003" s="8"/>
      <c r="AA1003" s="8"/>
      <c r="AB1003" s="8"/>
      <c r="AC1003" s="8">
        <f t="shared" si="125"/>
        <v>0</v>
      </c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8"/>
      <c r="AR1003" s="8"/>
      <c r="AS1003" s="8"/>
      <c r="AT1003" s="8"/>
      <c r="AU1003" s="8"/>
      <c r="AV1003" s="8"/>
      <c r="AW1003" s="8"/>
      <c r="AX1003" s="8"/>
      <c r="AY1003" s="8"/>
      <c r="AZ1003" s="8"/>
      <c r="BA1003" s="8"/>
      <c r="BB1003" s="8"/>
      <c r="BC1003" s="8">
        <f t="shared" si="126"/>
        <v>0</v>
      </c>
      <c r="BD1003" s="4"/>
      <c r="BE1003" s="4">
        <f t="shared" si="127"/>
        <v>0</v>
      </c>
      <c r="BF1003" s="30">
        <f t="shared" si="128"/>
        <v>0</v>
      </c>
      <c r="BG1003" s="18">
        <f t="shared" si="129"/>
        <v>0</v>
      </c>
      <c r="BH1003" s="23"/>
      <c r="BI1003" s="14"/>
      <c r="BJ1003" s="14"/>
      <c r="BK1003" s="14"/>
      <c r="BL1003" s="14"/>
      <c r="BM1003" s="14"/>
      <c r="BN1003" s="14"/>
    </row>
    <row r="1004" spans="1:66" ht="15" customHeight="1" x14ac:dyDescent="0.2">
      <c r="A1004" s="1">
        <v>8909842957</v>
      </c>
      <c r="B1004" s="1">
        <v>890984295</v>
      </c>
      <c r="C1004" s="15">
        <v>219005790</v>
      </c>
      <c r="D1004" s="16" t="s">
        <v>145</v>
      </c>
      <c r="E1004" s="41" t="s">
        <v>1174</v>
      </c>
      <c r="F1004" s="28"/>
      <c r="G1004" s="2"/>
      <c r="H1004" s="3"/>
      <c r="I1004" s="2"/>
      <c r="J1004" s="29"/>
      <c r="K1004" s="3"/>
      <c r="L1004" s="2"/>
      <c r="M1004" s="8"/>
      <c r="N1004" s="3"/>
      <c r="O1004" s="2"/>
      <c r="P1004" s="3"/>
      <c r="Q1004" s="2"/>
      <c r="R1004" s="3"/>
      <c r="S1004" s="3"/>
      <c r="T1004" s="2"/>
      <c r="U1004" s="8">
        <f t="shared" si="124"/>
        <v>0</v>
      </c>
      <c r="V1004" s="8"/>
      <c r="W1004" s="8"/>
      <c r="X1004" s="8"/>
      <c r="Y1004" s="8"/>
      <c r="Z1004" s="8"/>
      <c r="AA1004" s="8"/>
      <c r="AB1004" s="8"/>
      <c r="AC1004" s="8">
        <f t="shared" si="125"/>
        <v>0</v>
      </c>
      <c r="AD1004" s="8"/>
      <c r="AE1004" s="8"/>
      <c r="AF1004" s="8"/>
      <c r="AG1004" s="8"/>
      <c r="AH1004" s="8"/>
      <c r="AI1004" s="8"/>
      <c r="AJ1004" s="8"/>
      <c r="AK1004" s="8"/>
      <c r="AL1004" s="8"/>
      <c r="AM1004" s="8"/>
      <c r="AN1004" s="8"/>
      <c r="AO1004" s="8"/>
      <c r="AP1004" s="8"/>
      <c r="AQ1004" s="8"/>
      <c r="AR1004" s="8"/>
      <c r="AS1004" s="8"/>
      <c r="AT1004" s="8"/>
      <c r="AU1004" s="8"/>
      <c r="AV1004" s="8"/>
      <c r="AW1004" s="8"/>
      <c r="AX1004" s="8"/>
      <c r="AY1004" s="8"/>
      <c r="AZ1004" s="8"/>
      <c r="BA1004" s="8">
        <f>VLOOKUP(B1004,[1]Hoja3!J$3:K$674,2,0)</f>
        <v>503450070</v>
      </c>
      <c r="BB1004" s="8"/>
      <c r="BC1004" s="8">
        <f t="shared" si="126"/>
        <v>503450070</v>
      </c>
      <c r="BD1004" s="4"/>
      <c r="BE1004" s="4">
        <f t="shared" si="127"/>
        <v>503450070</v>
      </c>
      <c r="BF1004" s="30">
        <f t="shared" si="128"/>
        <v>503450070</v>
      </c>
      <c r="BG1004" s="18">
        <f t="shared" si="129"/>
        <v>0</v>
      </c>
      <c r="BH1004" s="23"/>
      <c r="BI1004" s="23"/>
      <c r="BJ1004" s="23"/>
    </row>
    <row r="1005" spans="1:66" ht="15" customHeight="1" x14ac:dyDescent="0.2">
      <c r="A1005" s="1">
        <v>8911802111</v>
      </c>
      <c r="B1005" s="1">
        <v>891180211</v>
      </c>
      <c r="C1005" s="15">
        <v>219141791</v>
      </c>
      <c r="D1005" s="16" t="s">
        <v>622</v>
      </c>
      <c r="E1005" s="41" t="s">
        <v>1642</v>
      </c>
      <c r="F1005" s="28"/>
      <c r="G1005" s="2"/>
      <c r="H1005" s="3"/>
      <c r="I1005" s="2"/>
      <c r="J1005" s="29"/>
      <c r="K1005" s="3"/>
      <c r="L1005" s="2"/>
      <c r="M1005" s="8"/>
      <c r="N1005" s="3"/>
      <c r="O1005" s="2"/>
      <c r="P1005" s="3"/>
      <c r="Q1005" s="2"/>
      <c r="R1005" s="3"/>
      <c r="S1005" s="3"/>
      <c r="T1005" s="2"/>
      <c r="U1005" s="8">
        <f t="shared" si="124"/>
        <v>0</v>
      </c>
      <c r="V1005" s="8"/>
      <c r="W1005" s="8"/>
      <c r="X1005" s="8"/>
      <c r="Y1005" s="8"/>
      <c r="Z1005" s="8"/>
      <c r="AA1005" s="8"/>
      <c r="AB1005" s="8"/>
      <c r="AC1005" s="8">
        <f t="shared" si="125"/>
        <v>0</v>
      </c>
      <c r="AD1005" s="8"/>
      <c r="AE1005" s="8"/>
      <c r="AF1005" s="8"/>
      <c r="AG1005" s="8"/>
      <c r="AH1005" s="8"/>
      <c r="AI1005" s="8"/>
      <c r="AJ1005" s="8"/>
      <c r="AK1005" s="8"/>
      <c r="AL1005" s="8"/>
      <c r="AM1005" s="8"/>
      <c r="AN1005" s="8"/>
      <c r="AO1005" s="8"/>
      <c r="AP1005" s="8"/>
      <c r="AQ1005" s="8"/>
      <c r="AR1005" s="8"/>
      <c r="AS1005" s="8"/>
      <c r="AT1005" s="8"/>
      <c r="AU1005" s="8"/>
      <c r="AV1005" s="8"/>
      <c r="AW1005" s="8"/>
      <c r="AX1005" s="8"/>
      <c r="AY1005" s="8">
        <v>149445880</v>
      </c>
      <c r="AZ1005" s="8"/>
      <c r="BA1005" s="8">
        <f>VLOOKUP(B1005,[1]Hoja3!J$3:K$674,2,0)</f>
        <v>327530639</v>
      </c>
      <c r="BB1005" s="8"/>
      <c r="BC1005" s="8">
        <f t="shared" si="126"/>
        <v>476976519</v>
      </c>
      <c r="BD1005" s="4">
        <v>149445880</v>
      </c>
      <c r="BE1005" s="4">
        <f t="shared" si="127"/>
        <v>327530639</v>
      </c>
      <c r="BF1005" s="30">
        <f t="shared" si="128"/>
        <v>476976519</v>
      </c>
      <c r="BG1005" s="18">
        <f t="shared" si="129"/>
        <v>0</v>
      </c>
      <c r="BH1005" s="23"/>
      <c r="BI1005" s="23"/>
      <c r="BJ1005" s="23"/>
    </row>
    <row r="1006" spans="1:66" ht="15" customHeight="1" x14ac:dyDescent="0.2">
      <c r="A1006" s="1">
        <v>8909825834</v>
      </c>
      <c r="B1006" s="1">
        <v>890982583</v>
      </c>
      <c r="C1006" s="15">
        <v>219205792</v>
      </c>
      <c r="D1006" s="16" t="s">
        <v>146</v>
      </c>
      <c r="E1006" s="41" t="s">
        <v>1175</v>
      </c>
      <c r="F1006" s="28"/>
      <c r="G1006" s="2"/>
      <c r="H1006" s="3"/>
      <c r="I1006" s="2"/>
      <c r="J1006" s="29"/>
      <c r="K1006" s="3"/>
      <c r="L1006" s="2"/>
      <c r="M1006" s="8"/>
      <c r="N1006" s="3"/>
      <c r="O1006" s="2"/>
      <c r="P1006" s="3"/>
      <c r="Q1006" s="2"/>
      <c r="R1006" s="3"/>
      <c r="S1006" s="3"/>
      <c r="T1006" s="2"/>
      <c r="U1006" s="8">
        <f t="shared" si="124"/>
        <v>0</v>
      </c>
      <c r="V1006" s="8"/>
      <c r="W1006" s="8"/>
      <c r="X1006" s="8"/>
      <c r="Y1006" s="8"/>
      <c r="Z1006" s="8"/>
      <c r="AA1006" s="8"/>
      <c r="AB1006" s="8"/>
      <c r="AC1006" s="8">
        <f t="shared" si="125"/>
        <v>0</v>
      </c>
      <c r="AD1006" s="8"/>
      <c r="AE1006" s="8"/>
      <c r="AF1006" s="8"/>
      <c r="AG1006" s="8"/>
      <c r="AH1006" s="8"/>
      <c r="AI1006" s="8"/>
      <c r="AJ1006" s="8"/>
      <c r="AK1006" s="8"/>
      <c r="AL1006" s="8"/>
      <c r="AM1006" s="8"/>
      <c r="AN1006" s="8"/>
      <c r="AO1006" s="8"/>
      <c r="AP1006" s="8"/>
      <c r="AQ1006" s="8"/>
      <c r="AR1006" s="8"/>
      <c r="AS1006" s="8"/>
      <c r="AT1006" s="8"/>
      <c r="AU1006" s="8"/>
      <c r="AV1006" s="8"/>
      <c r="AW1006" s="8"/>
      <c r="AX1006" s="8"/>
      <c r="AY1006" s="8">
        <v>40635275</v>
      </c>
      <c r="AZ1006" s="8"/>
      <c r="BA1006" s="8">
        <f>VLOOKUP(B1006,[1]Hoja3!J$3:K$674,2,0)</f>
        <v>78243604</v>
      </c>
      <c r="BB1006" s="8"/>
      <c r="BC1006" s="8">
        <f t="shared" si="126"/>
        <v>118878879</v>
      </c>
      <c r="BD1006" s="4">
        <v>40635275</v>
      </c>
      <c r="BE1006" s="4">
        <f t="shared" si="127"/>
        <v>78243604</v>
      </c>
      <c r="BF1006" s="30">
        <f t="shared" si="128"/>
        <v>118878879</v>
      </c>
      <c r="BG1006" s="18">
        <f t="shared" si="129"/>
        <v>0</v>
      </c>
      <c r="BH1006" s="23"/>
      <c r="BI1006" s="23"/>
      <c r="BJ1006" s="23"/>
    </row>
    <row r="1007" spans="1:66" ht="15" customHeight="1" x14ac:dyDescent="0.2">
      <c r="A1007" s="1">
        <v>8918561313</v>
      </c>
      <c r="B1007" s="1">
        <v>891856131</v>
      </c>
      <c r="C1007" s="15">
        <v>219015790</v>
      </c>
      <c r="D1007" s="16" t="s">
        <v>318</v>
      </c>
      <c r="E1007" s="41" t="s">
        <v>1350</v>
      </c>
      <c r="F1007" s="28"/>
      <c r="G1007" s="17"/>
      <c r="H1007" s="3"/>
      <c r="I1007" s="2"/>
      <c r="J1007" s="29"/>
      <c r="K1007" s="3"/>
      <c r="L1007" s="17"/>
      <c r="M1007" s="34"/>
      <c r="N1007" s="3"/>
      <c r="O1007" s="17"/>
      <c r="P1007" s="3"/>
      <c r="Q1007" s="2"/>
      <c r="R1007" s="3"/>
      <c r="S1007" s="3"/>
      <c r="T1007" s="17"/>
      <c r="U1007" s="8">
        <f t="shared" si="124"/>
        <v>0</v>
      </c>
      <c r="V1007" s="8"/>
      <c r="W1007" s="8"/>
      <c r="X1007" s="8"/>
      <c r="Y1007" s="8"/>
      <c r="Z1007" s="8"/>
      <c r="AA1007" s="8"/>
      <c r="AB1007" s="8"/>
      <c r="AC1007" s="8">
        <f t="shared" si="125"/>
        <v>0</v>
      </c>
      <c r="AD1007" s="8"/>
      <c r="AE1007" s="8"/>
      <c r="AF1007" s="8"/>
      <c r="AG1007" s="8"/>
      <c r="AH1007" s="8"/>
      <c r="AI1007" s="8"/>
      <c r="AJ1007" s="8"/>
      <c r="AK1007" s="8"/>
      <c r="AL1007" s="8"/>
      <c r="AM1007" s="8"/>
      <c r="AN1007" s="8"/>
      <c r="AO1007" s="8"/>
      <c r="AP1007" s="8"/>
      <c r="AQ1007" s="8"/>
      <c r="AR1007" s="8"/>
      <c r="AS1007" s="8"/>
      <c r="AT1007" s="8"/>
      <c r="AU1007" s="8"/>
      <c r="AV1007" s="8"/>
      <c r="AW1007" s="8"/>
      <c r="AX1007" s="8"/>
      <c r="AY1007" s="8">
        <v>39232170</v>
      </c>
      <c r="AZ1007" s="8"/>
      <c r="BA1007" s="8">
        <f>VLOOKUP(B1007,[1]Hoja3!J$3:K$674,2,0)</f>
        <v>93473423</v>
      </c>
      <c r="BB1007" s="8"/>
      <c r="BC1007" s="8">
        <f t="shared" si="126"/>
        <v>132705593</v>
      </c>
      <c r="BD1007" s="4">
        <v>39232170</v>
      </c>
      <c r="BE1007" s="4">
        <f t="shared" si="127"/>
        <v>93473423</v>
      </c>
      <c r="BF1007" s="30">
        <f t="shared" si="128"/>
        <v>132705593</v>
      </c>
      <c r="BG1007" s="18">
        <f t="shared" si="129"/>
        <v>0</v>
      </c>
      <c r="BH1007" s="23"/>
      <c r="BI1007" s="14"/>
      <c r="BJ1007" s="14"/>
      <c r="BK1007" s="14"/>
      <c r="BL1007" s="14"/>
      <c r="BM1007" s="14"/>
      <c r="BN1007" s="14"/>
    </row>
    <row r="1008" spans="1:66" ht="15" customHeight="1" x14ac:dyDescent="0.2">
      <c r="A1008" s="1">
        <v>8000128737</v>
      </c>
      <c r="B1008" s="1">
        <v>800012873</v>
      </c>
      <c r="C1008" s="15">
        <v>211085410</v>
      </c>
      <c r="D1008" s="16" t="s">
        <v>971</v>
      </c>
      <c r="E1008" s="41" t="s">
        <v>2031</v>
      </c>
      <c r="F1008" s="28"/>
      <c r="G1008" s="2"/>
      <c r="H1008" s="3"/>
      <c r="I1008" s="2"/>
      <c r="J1008" s="29"/>
      <c r="K1008" s="3"/>
      <c r="L1008" s="2"/>
      <c r="M1008" s="8"/>
      <c r="N1008" s="3"/>
      <c r="O1008" s="2"/>
      <c r="P1008" s="3"/>
      <c r="Q1008" s="2"/>
      <c r="R1008" s="3"/>
      <c r="S1008" s="3"/>
      <c r="T1008" s="2"/>
      <c r="U1008" s="8">
        <f t="shared" si="124"/>
        <v>0</v>
      </c>
      <c r="V1008" s="8"/>
      <c r="W1008" s="8"/>
      <c r="X1008" s="8"/>
      <c r="Y1008" s="8"/>
      <c r="Z1008" s="8"/>
      <c r="AA1008" s="8"/>
      <c r="AB1008" s="8"/>
      <c r="AC1008" s="8">
        <f t="shared" si="125"/>
        <v>0</v>
      </c>
      <c r="AD1008" s="8"/>
      <c r="AE1008" s="8"/>
      <c r="AF1008" s="8"/>
      <c r="AG1008" s="8"/>
      <c r="AH1008" s="8"/>
      <c r="AI1008" s="8"/>
      <c r="AJ1008" s="8"/>
      <c r="AK1008" s="8"/>
      <c r="AL1008" s="8"/>
      <c r="AM1008" s="8">
        <v>295189394</v>
      </c>
      <c r="AN1008" s="8">
        <f t="shared" ref="AN1008:AN1013" si="131">SUBTOTAL(9,AC1008:AM1008)</f>
        <v>295189394</v>
      </c>
      <c r="AO1008" s="8"/>
      <c r="AP1008" s="8"/>
      <c r="AQ1008" s="8"/>
      <c r="AR1008" s="8"/>
      <c r="AS1008" s="8"/>
      <c r="AT1008" s="8"/>
      <c r="AU1008" s="8"/>
      <c r="AV1008" s="8"/>
      <c r="AW1008" s="8"/>
      <c r="AX1008" s="8"/>
      <c r="AY1008" s="8">
        <v>149933090</v>
      </c>
      <c r="AZ1008" s="8"/>
      <c r="BA1008" s="8">
        <f>VLOOKUP(B1008,[1]Hoja3!J$3:K$674,2,0)</f>
        <v>97520742</v>
      </c>
      <c r="BB1008" s="8"/>
      <c r="BC1008" s="8">
        <f t="shared" si="126"/>
        <v>542643226</v>
      </c>
      <c r="BD1008" s="4">
        <v>149933090</v>
      </c>
      <c r="BE1008" s="4">
        <f t="shared" si="127"/>
        <v>392710136</v>
      </c>
      <c r="BF1008" s="30">
        <f t="shared" si="128"/>
        <v>542643226</v>
      </c>
      <c r="BG1008" s="18">
        <f t="shared" si="129"/>
        <v>0</v>
      </c>
      <c r="BH1008" s="23"/>
      <c r="BI1008" s="23"/>
      <c r="BJ1008" s="23"/>
    </row>
    <row r="1009" spans="1:66" ht="15" customHeight="1" x14ac:dyDescent="0.2">
      <c r="A1009" s="1">
        <v>8999994819</v>
      </c>
      <c r="B1009" s="1">
        <v>899999481</v>
      </c>
      <c r="C1009" s="15">
        <v>219325793</v>
      </c>
      <c r="D1009" s="16" t="s">
        <v>546</v>
      </c>
      <c r="E1009" s="41" t="s">
        <v>2073</v>
      </c>
      <c r="F1009" s="28"/>
      <c r="G1009" s="2"/>
      <c r="H1009" s="3"/>
      <c r="I1009" s="2"/>
      <c r="J1009" s="29"/>
      <c r="K1009" s="3"/>
      <c r="L1009" s="2"/>
      <c r="M1009" s="8"/>
      <c r="N1009" s="3"/>
      <c r="O1009" s="2"/>
      <c r="P1009" s="3"/>
      <c r="Q1009" s="2"/>
      <c r="R1009" s="3"/>
      <c r="S1009" s="3"/>
      <c r="T1009" s="2"/>
      <c r="U1009" s="8">
        <f t="shared" si="124"/>
        <v>0</v>
      </c>
      <c r="V1009" s="8"/>
      <c r="W1009" s="8"/>
      <c r="X1009" s="8"/>
      <c r="Y1009" s="8"/>
      <c r="Z1009" s="8"/>
      <c r="AA1009" s="8"/>
      <c r="AB1009" s="8"/>
      <c r="AC1009" s="8">
        <f t="shared" si="125"/>
        <v>0</v>
      </c>
      <c r="AD1009" s="8"/>
      <c r="AE1009" s="8"/>
      <c r="AF1009" s="8"/>
      <c r="AG1009" s="8"/>
      <c r="AH1009" s="8"/>
      <c r="AI1009" s="8"/>
      <c r="AJ1009" s="8"/>
      <c r="AK1009" s="8"/>
      <c r="AL1009" s="8"/>
      <c r="AM1009" s="8">
        <v>149009676</v>
      </c>
      <c r="AN1009" s="8">
        <f t="shared" si="131"/>
        <v>149009676</v>
      </c>
      <c r="AO1009" s="8"/>
      <c r="AP1009" s="8"/>
      <c r="AQ1009" s="8"/>
      <c r="AR1009" s="8"/>
      <c r="AS1009" s="8"/>
      <c r="AT1009" s="8"/>
      <c r="AU1009" s="8"/>
      <c r="AV1009" s="8"/>
      <c r="AW1009" s="8"/>
      <c r="AX1009" s="8"/>
      <c r="AY1009" s="8"/>
      <c r="AZ1009" s="8"/>
      <c r="BA1009" s="8"/>
      <c r="BB1009" s="8"/>
      <c r="BC1009" s="8">
        <f t="shared" si="126"/>
        <v>149009676</v>
      </c>
      <c r="BD1009" s="4"/>
      <c r="BE1009" s="4">
        <f t="shared" si="127"/>
        <v>149009676</v>
      </c>
      <c r="BF1009" s="30">
        <f t="shared" si="128"/>
        <v>149009676</v>
      </c>
      <c r="BG1009" s="18">
        <f t="shared" si="129"/>
        <v>0</v>
      </c>
      <c r="BH1009" s="23"/>
      <c r="BI1009" s="23"/>
      <c r="BJ1009" s="23"/>
    </row>
    <row r="1010" spans="1:66" ht="15" customHeight="1" x14ac:dyDescent="0.2">
      <c r="A1010" s="1">
        <v>8911801270</v>
      </c>
      <c r="B1010" s="1">
        <v>891180127</v>
      </c>
      <c r="C1010" s="15">
        <v>219941799</v>
      </c>
      <c r="D1010" s="16" t="s">
        <v>624</v>
      </c>
      <c r="E1010" s="41" t="s">
        <v>1644</v>
      </c>
      <c r="F1010" s="28"/>
      <c r="G1010" s="2"/>
      <c r="H1010" s="3"/>
      <c r="I1010" s="2"/>
      <c r="J1010" s="29"/>
      <c r="K1010" s="3"/>
      <c r="L1010" s="2"/>
      <c r="M1010" s="8"/>
      <c r="N1010" s="3"/>
      <c r="O1010" s="2"/>
      <c r="P1010" s="3"/>
      <c r="Q1010" s="2"/>
      <c r="R1010" s="3"/>
      <c r="S1010" s="3"/>
      <c r="T1010" s="2"/>
      <c r="U1010" s="8">
        <f t="shared" si="124"/>
        <v>0</v>
      </c>
      <c r="V1010" s="8"/>
      <c r="W1010" s="8"/>
      <c r="X1010" s="8"/>
      <c r="Y1010" s="8"/>
      <c r="Z1010" s="8"/>
      <c r="AA1010" s="8"/>
      <c r="AB1010" s="8"/>
      <c r="AC1010" s="8">
        <f t="shared" si="125"/>
        <v>0</v>
      </c>
      <c r="AD1010" s="8"/>
      <c r="AE1010" s="8"/>
      <c r="AF1010" s="8"/>
      <c r="AG1010" s="8"/>
      <c r="AH1010" s="8"/>
      <c r="AI1010" s="8"/>
      <c r="AJ1010" s="8"/>
      <c r="AK1010" s="8"/>
      <c r="AL1010" s="8"/>
      <c r="AM1010" s="8">
        <v>124633834</v>
      </c>
      <c r="AN1010" s="8">
        <f t="shared" si="131"/>
        <v>124633834</v>
      </c>
      <c r="AO1010" s="8"/>
      <c r="AP1010" s="8"/>
      <c r="AQ1010" s="8"/>
      <c r="AR1010" s="8"/>
      <c r="AS1010" s="8"/>
      <c r="AT1010" s="8"/>
      <c r="AU1010" s="8"/>
      <c r="AV1010" s="8"/>
      <c r="AW1010" s="8"/>
      <c r="AX1010" s="8"/>
      <c r="AY1010" s="8">
        <v>102120990</v>
      </c>
      <c r="AZ1010" s="8"/>
      <c r="BA1010" s="8">
        <f>VLOOKUP(B1010,[1]Hoja3!J$3:K$674,2,0)</f>
        <v>75132539</v>
      </c>
      <c r="BB1010" s="8"/>
      <c r="BC1010" s="8">
        <f t="shared" si="126"/>
        <v>301887363</v>
      </c>
      <c r="BD1010" s="4">
        <v>102120990</v>
      </c>
      <c r="BE1010" s="4">
        <f t="shared" si="127"/>
        <v>199766373</v>
      </c>
      <c r="BF1010" s="30">
        <f t="shared" si="128"/>
        <v>301887363</v>
      </c>
      <c r="BG1010" s="18">
        <f t="shared" si="129"/>
        <v>0</v>
      </c>
      <c r="BH1010" s="23"/>
      <c r="BI1010" s="23"/>
      <c r="BJ1010" s="23"/>
    </row>
    <row r="1011" spans="1:66" ht="15" customHeight="1" x14ac:dyDescent="0.2">
      <c r="A1011" s="1">
        <v>8000045746</v>
      </c>
      <c r="B1011" s="1">
        <v>800004574</v>
      </c>
      <c r="C1011" s="15">
        <v>219725797</v>
      </c>
      <c r="D1011" s="16" t="s">
        <v>547</v>
      </c>
      <c r="E1011" s="41" t="s">
        <v>1553</v>
      </c>
      <c r="F1011" s="28"/>
      <c r="G1011" s="2"/>
      <c r="H1011" s="3"/>
      <c r="I1011" s="2"/>
      <c r="J1011" s="29"/>
      <c r="K1011" s="3"/>
      <c r="L1011" s="2"/>
      <c r="M1011" s="8"/>
      <c r="N1011" s="3"/>
      <c r="O1011" s="2"/>
      <c r="P1011" s="3"/>
      <c r="Q1011" s="2"/>
      <c r="R1011" s="3"/>
      <c r="S1011" s="3"/>
      <c r="T1011" s="2"/>
      <c r="U1011" s="8">
        <f t="shared" si="124"/>
        <v>0</v>
      </c>
      <c r="V1011" s="8"/>
      <c r="W1011" s="8"/>
      <c r="X1011" s="8"/>
      <c r="Y1011" s="8"/>
      <c r="Z1011" s="8"/>
      <c r="AA1011" s="8"/>
      <c r="AB1011" s="8"/>
      <c r="AC1011" s="8">
        <f t="shared" si="125"/>
        <v>0</v>
      </c>
      <c r="AD1011" s="8"/>
      <c r="AE1011" s="8"/>
      <c r="AF1011" s="8"/>
      <c r="AG1011" s="8"/>
      <c r="AH1011" s="8"/>
      <c r="AI1011" s="8"/>
      <c r="AJ1011" s="8"/>
      <c r="AK1011" s="8"/>
      <c r="AL1011" s="8"/>
      <c r="AM1011" s="8">
        <v>128238445</v>
      </c>
      <c r="AN1011" s="8">
        <f t="shared" si="131"/>
        <v>128238445</v>
      </c>
      <c r="AO1011" s="8"/>
      <c r="AP1011" s="8"/>
      <c r="AQ1011" s="8"/>
      <c r="AR1011" s="8"/>
      <c r="AS1011" s="8"/>
      <c r="AT1011" s="8"/>
      <c r="AU1011" s="8"/>
      <c r="AV1011" s="8"/>
      <c r="AW1011" s="8"/>
      <c r="AX1011" s="8"/>
      <c r="AY1011" s="8"/>
      <c r="AZ1011" s="8"/>
      <c r="BA1011" s="8"/>
      <c r="BB1011" s="8"/>
      <c r="BC1011" s="8">
        <f t="shared" si="126"/>
        <v>128238445</v>
      </c>
      <c r="BD1011" s="4"/>
      <c r="BE1011" s="4">
        <f t="shared" si="127"/>
        <v>128238445</v>
      </c>
      <c r="BF1011" s="30">
        <f t="shared" si="128"/>
        <v>128238445</v>
      </c>
      <c r="BG1011" s="18">
        <f t="shared" si="129"/>
        <v>0</v>
      </c>
      <c r="BH1011" s="23"/>
      <c r="BI1011" s="23"/>
      <c r="BJ1011" s="23"/>
    </row>
    <row r="1012" spans="1:66" ht="15" customHeight="1" x14ac:dyDescent="0.2">
      <c r="A1012" s="1">
        <v>8917800578</v>
      </c>
      <c r="B1012" s="1">
        <v>891780057</v>
      </c>
      <c r="C1012" s="15">
        <v>219847798</v>
      </c>
      <c r="D1012" s="16" t="s">
        <v>663</v>
      </c>
      <c r="E1012" s="41" t="s">
        <v>1684</v>
      </c>
      <c r="F1012" s="28"/>
      <c r="G1012" s="2"/>
      <c r="H1012" s="3"/>
      <c r="I1012" s="2"/>
      <c r="J1012" s="29"/>
      <c r="K1012" s="3"/>
      <c r="L1012" s="2"/>
      <c r="M1012" s="8"/>
      <c r="N1012" s="3"/>
      <c r="O1012" s="2"/>
      <c r="P1012" s="3"/>
      <c r="Q1012" s="2"/>
      <c r="R1012" s="3"/>
      <c r="S1012" s="3"/>
      <c r="T1012" s="2"/>
      <c r="U1012" s="8">
        <f t="shared" si="124"/>
        <v>0</v>
      </c>
      <c r="V1012" s="8"/>
      <c r="W1012" s="8"/>
      <c r="X1012" s="8"/>
      <c r="Y1012" s="8"/>
      <c r="Z1012" s="8"/>
      <c r="AA1012" s="8"/>
      <c r="AB1012" s="8"/>
      <c r="AC1012" s="8">
        <f t="shared" si="125"/>
        <v>0</v>
      </c>
      <c r="AD1012" s="8"/>
      <c r="AE1012" s="8"/>
      <c r="AF1012" s="8"/>
      <c r="AG1012" s="8"/>
      <c r="AH1012" s="8"/>
      <c r="AI1012" s="8"/>
      <c r="AJ1012" s="8"/>
      <c r="AK1012" s="8"/>
      <c r="AL1012" s="8"/>
      <c r="AM1012" s="8">
        <v>235706388</v>
      </c>
      <c r="AN1012" s="8">
        <f t="shared" si="131"/>
        <v>235706388</v>
      </c>
      <c r="AO1012" s="8"/>
      <c r="AP1012" s="8"/>
      <c r="AQ1012" s="8"/>
      <c r="AR1012" s="8"/>
      <c r="AS1012" s="8"/>
      <c r="AT1012" s="8"/>
      <c r="AU1012" s="8"/>
      <c r="AV1012" s="8"/>
      <c r="AW1012" s="8"/>
      <c r="AX1012" s="8"/>
      <c r="AY1012" s="8"/>
      <c r="AZ1012" s="8"/>
      <c r="BA1012" s="8">
        <f>VLOOKUP(B1012,[1]Hoja3!J$3:K$674,2,0)</f>
        <v>56337824</v>
      </c>
      <c r="BB1012" s="8"/>
      <c r="BC1012" s="8">
        <f t="shared" si="126"/>
        <v>292044212</v>
      </c>
      <c r="BD1012" s="4"/>
      <c r="BE1012" s="4">
        <f t="shared" si="127"/>
        <v>292044212</v>
      </c>
      <c r="BF1012" s="30">
        <f t="shared" si="128"/>
        <v>292044212</v>
      </c>
      <c r="BG1012" s="18">
        <f t="shared" si="129"/>
        <v>0</v>
      </c>
      <c r="BH1012" s="23"/>
      <c r="BI1012" s="23"/>
      <c r="BJ1012" s="23"/>
    </row>
    <row r="1013" spans="1:66" ht="15" customHeight="1" x14ac:dyDescent="0.2">
      <c r="A1013" s="1">
        <v>8000951742</v>
      </c>
      <c r="B1013" s="1">
        <v>800095174</v>
      </c>
      <c r="C1013" s="15">
        <v>219925799</v>
      </c>
      <c r="D1013" s="16" t="s">
        <v>548</v>
      </c>
      <c r="E1013" s="41" t="s">
        <v>1571</v>
      </c>
      <c r="F1013" s="28"/>
      <c r="G1013" s="2"/>
      <c r="H1013" s="3"/>
      <c r="I1013" s="2"/>
      <c r="J1013" s="29"/>
      <c r="K1013" s="3"/>
      <c r="L1013" s="2"/>
      <c r="M1013" s="8"/>
      <c r="N1013" s="3"/>
      <c r="O1013" s="2"/>
      <c r="P1013" s="3"/>
      <c r="Q1013" s="2"/>
      <c r="R1013" s="3"/>
      <c r="S1013" s="3"/>
      <c r="T1013" s="2"/>
      <c r="U1013" s="8">
        <f t="shared" si="124"/>
        <v>0</v>
      </c>
      <c r="V1013" s="8"/>
      <c r="W1013" s="8"/>
      <c r="X1013" s="8"/>
      <c r="Y1013" s="8"/>
      <c r="Z1013" s="8"/>
      <c r="AA1013" s="8"/>
      <c r="AB1013" s="8"/>
      <c r="AC1013" s="8">
        <f t="shared" si="125"/>
        <v>0</v>
      </c>
      <c r="AD1013" s="8"/>
      <c r="AE1013" s="8"/>
      <c r="AF1013" s="8"/>
      <c r="AG1013" s="8"/>
      <c r="AH1013" s="8"/>
      <c r="AI1013" s="8"/>
      <c r="AJ1013" s="8"/>
      <c r="AK1013" s="8"/>
      <c r="AL1013" s="8"/>
      <c r="AM1013" s="8">
        <v>260422278</v>
      </c>
      <c r="AN1013" s="8">
        <f t="shared" si="131"/>
        <v>260422278</v>
      </c>
      <c r="AO1013" s="8"/>
      <c r="AP1013" s="8"/>
      <c r="AQ1013" s="8"/>
      <c r="AR1013" s="8"/>
      <c r="AS1013" s="8"/>
      <c r="AT1013" s="8"/>
      <c r="AU1013" s="8"/>
      <c r="AV1013" s="8"/>
      <c r="AW1013" s="8"/>
      <c r="AX1013" s="8"/>
      <c r="AY1013" s="8">
        <v>88190855</v>
      </c>
      <c r="AZ1013" s="8"/>
      <c r="BA1013" s="8"/>
      <c r="BB1013" s="8"/>
      <c r="BC1013" s="8">
        <f t="shared" si="126"/>
        <v>348613133</v>
      </c>
      <c r="BD1013" s="4">
        <v>88190855</v>
      </c>
      <c r="BE1013" s="4">
        <f t="shared" si="127"/>
        <v>260422278</v>
      </c>
      <c r="BF1013" s="30">
        <f t="shared" si="128"/>
        <v>348613133</v>
      </c>
      <c r="BG1013" s="18">
        <f t="shared" si="129"/>
        <v>0</v>
      </c>
      <c r="BH1013" s="23"/>
      <c r="BI1013" s="23"/>
      <c r="BJ1013" s="23"/>
    </row>
    <row r="1014" spans="1:66" ht="15" customHeight="1" x14ac:dyDescent="0.2">
      <c r="A1014" s="1">
        <v>8000197099</v>
      </c>
      <c r="B1014" s="1">
        <v>800019709</v>
      </c>
      <c r="C1014" s="15">
        <v>219815798</v>
      </c>
      <c r="D1014" s="16" t="s">
        <v>319</v>
      </c>
      <c r="E1014" s="41" t="s">
        <v>1351</v>
      </c>
      <c r="F1014" s="28"/>
      <c r="G1014" s="17"/>
      <c r="H1014" s="3"/>
      <c r="I1014" s="2"/>
      <c r="J1014" s="29"/>
      <c r="K1014" s="3"/>
      <c r="L1014" s="17"/>
      <c r="M1014" s="34"/>
      <c r="N1014" s="3"/>
      <c r="O1014" s="17"/>
      <c r="P1014" s="3"/>
      <c r="Q1014" s="2"/>
      <c r="R1014" s="3"/>
      <c r="S1014" s="3"/>
      <c r="T1014" s="17"/>
      <c r="U1014" s="8">
        <f t="shared" si="124"/>
        <v>0</v>
      </c>
      <c r="V1014" s="8"/>
      <c r="W1014" s="8"/>
      <c r="X1014" s="8"/>
      <c r="Y1014" s="8"/>
      <c r="Z1014" s="8"/>
      <c r="AA1014" s="8"/>
      <c r="AB1014" s="8"/>
      <c r="AC1014" s="8">
        <f t="shared" si="125"/>
        <v>0</v>
      </c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  <c r="AN1014" s="8"/>
      <c r="AO1014" s="8"/>
      <c r="AP1014" s="8"/>
      <c r="AQ1014" s="8"/>
      <c r="AR1014" s="8"/>
      <c r="AS1014" s="8"/>
      <c r="AT1014" s="8"/>
      <c r="AU1014" s="8"/>
      <c r="AV1014" s="8"/>
      <c r="AW1014" s="8"/>
      <c r="AX1014" s="8"/>
      <c r="AY1014" s="8">
        <v>26169150</v>
      </c>
      <c r="AZ1014" s="8"/>
      <c r="BA1014" s="8">
        <f>VLOOKUP(B1014,[1]Hoja3!J$3:K$674,2,0)</f>
        <v>45231927</v>
      </c>
      <c r="BB1014" s="8"/>
      <c r="BC1014" s="8">
        <f t="shared" si="126"/>
        <v>71401077</v>
      </c>
      <c r="BD1014" s="4">
        <v>26169150</v>
      </c>
      <c r="BE1014" s="4">
        <f t="shared" si="127"/>
        <v>45231927</v>
      </c>
      <c r="BF1014" s="30">
        <f t="shared" si="128"/>
        <v>71401077</v>
      </c>
      <c r="BG1014" s="18">
        <f t="shared" si="129"/>
        <v>0</v>
      </c>
      <c r="BH1014" s="23"/>
      <c r="BI1014" s="14"/>
      <c r="BJ1014" s="14"/>
      <c r="BK1014" s="14"/>
      <c r="BL1014" s="14"/>
      <c r="BM1014" s="14"/>
      <c r="BN1014" s="14"/>
    </row>
    <row r="1015" spans="1:66" ht="15" customHeight="1" x14ac:dyDescent="0.2">
      <c r="A1015" s="1">
        <v>8000170229</v>
      </c>
      <c r="B1015" s="1">
        <v>800017022</v>
      </c>
      <c r="C1015" s="15">
        <v>210054800</v>
      </c>
      <c r="D1015" s="16" t="s">
        <v>785</v>
      </c>
      <c r="E1015" s="41" t="s">
        <v>1802</v>
      </c>
      <c r="F1015" s="28"/>
      <c r="G1015" s="2"/>
      <c r="H1015" s="3"/>
      <c r="I1015" s="2"/>
      <c r="J1015" s="29"/>
      <c r="K1015" s="3"/>
      <c r="L1015" s="2"/>
      <c r="M1015" s="8"/>
      <c r="N1015" s="3"/>
      <c r="O1015" s="2"/>
      <c r="P1015" s="3"/>
      <c r="Q1015" s="2"/>
      <c r="R1015" s="3"/>
      <c r="S1015" s="3"/>
      <c r="T1015" s="2"/>
      <c r="U1015" s="8">
        <f t="shared" si="124"/>
        <v>0</v>
      </c>
      <c r="V1015" s="8"/>
      <c r="W1015" s="8"/>
      <c r="X1015" s="8"/>
      <c r="Y1015" s="8"/>
      <c r="Z1015" s="8"/>
      <c r="AA1015" s="8"/>
      <c r="AB1015" s="8"/>
      <c r="AC1015" s="8">
        <f t="shared" si="125"/>
        <v>0</v>
      </c>
      <c r="AD1015" s="8"/>
      <c r="AE1015" s="8"/>
      <c r="AF1015" s="8"/>
      <c r="AG1015" s="8"/>
      <c r="AH1015" s="8"/>
      <c r="AI1015" s="8"/>
      <c r="AJ1015" s="8"/>
      <c r="AK1015" s="8"/>
      <c r="AL1015" s="8"/>
      <c r="AM1015" s="8"/>
      <c r="AN1015" s="8"/>
      <c r="AO1015" s="8"/>
      <c r="AP1015" s="8"/>
      <c r="AQ1015" s="8"/>
      <c r="AR1015" s="8"/>
      <c r="AS1015" s="8"/>
      <c r="AT1015" s="8"/>
      <c r="AU1015" s="8"/>
      <c r="AV1015" s="8"/>
      <c r="AW1015" s="8"/>
      <c r="AX1015" s="8"/>
      <c r="AY1015" s="8">
        <v>159544890</v>
      </c>
      <c r="AZ1015" s="8"/>
      <c r="BA1015" s="8">
        <f>VLOOKUP(B1015,[1]Hoja3!J$3:K$674,2,0)</f>
        <v>188411305</v>
      </c>
      <c r="BB1015" s="8"/>
      <c r="BC1015" s="8">
        <f t="shared" si="126"/>
        <v>347956195</v>
      </c>
      <c r="BD1015" s="4">
        <v>159544890</v>
      </c>
      <c r="BE1015" s="4">
        <f t="shared" si="127"/>
        <v>188411305</v>
      </c>
      <c r="BF1015" s="30">
        <f t="shared" si="128"/>
        <v>347956195</v>
      </c>
      <c r="BG1015" s="18">
        <f t="shared" si="129"/>
        <v>0</v>
      </c>
      <c r="BH1015" s="23"/>
      <c r="BI1015" s="23"/>
      <c r="BJ1015" s="23"/>
    </row>
    <row r="1016" spans="1:66" ht="15" customHeight="1" x14ac:dyDescent="0.2">
      <c r="A1016" s="1">
        <v>8911801819</v>
      </c>
      <c r="B1016" s="1">
        <v>891180181</v>
      </c>
      <c r="C1016" s="15">
        <v>210141801</v>
      </c>
      <c r="D1016" s="16" t="s">
        <v>625</v>
      </c>
      <c r="E1016" s="41" t="s">
        <v>1645</v>
      </c>
      <c r="F1016" s="28"/>
      <c r="G1016" s="2"/>
      <c r="H1016" s="3"/>
      <c r="I1016" s="2"/>
      <c r="J1016" s="29"/>
      <c r="K1016" s="3"/>
      <c r="L1016" s="2"/>
      <c r="M1016" s="8"/>
      <c r="N1016" s="3"/>
      <c r="O1016" s="2"/>
      <c r="P1016" s="3"/>
      <c r="Q1016" s="2"/>
      <c r="R1016" s="3"/>
      <c r="S1016" s="3"/>
      <c r="T1016" s="2"/>
      <c r="U1016" s="8">
        <f t="shared" si="124"/>
        <v>0</v>
      </c>
      <c r="V1016" s="8"/>
      <c r="W1016" s="8"/>
      <c r="X1016" s="8"/>
      <c r="Y1016" s="8"/>
      <c r="Z1016" s="8"/>
      <c r="AA1016" s="8"/>
      <c r="AB1016" s="8"/>
      <c r="AC1016" s="8">
        <f t="shared" si="125"/>
        <v>0</v>
      </c>
      <c r="AD1016" s="8"/>
      <c r="AE1016" s="8"/>
      <c r="AF1016" s="8"/>
      <c r="AG1016" s="8"/>
      <c r="AH1016" s="8"/>
      <c r="AI1016" s="8"/>
      <c r="AJ1016" s="8"/>
      <c r="AK1016" s="8"/>
      <c r="AL1016" s="8"/>
      <c r="AM1016" s="8"/>
      <c r="AN1016" s="8"/>
      <c r="AO1016" s="8"/>
      <c r="AP1016" s="8"/>
      <c r="AQ1016" s="8"/>
      <c r="AR1016" s="8"/>
      <c r="AS1016" s="8"/>
      <c r="AT1016" s="8"/>
      <c r="AU1016" s="8"/>
      <c r="AV1016" s="8"/>
      <c r="AW1016" s="8"/>
      <c r="AX1016" s="8"/>
      <c r="AY1016" s="8">
        <v>56953040</v>
      </c>
      <c r="AZ1016" s="8"/>
      <c r="BA1016" s="8">
        <f>VLOOKUP(B1016,[1]Hoja3!J$3:K$674,2,0)</f>
        <v>108422345</v>
      </c>
      <c r="BB1016" s="8"/>
      <c r="BC1016" s="8">
        <f t="shared" si="126"/>
        <v>165375385</v>
      </c>
      <c r="BD1016" s="4">
        <v>56953040</v>
      </c>
      <c r="BE1016" s="4">
        <f t="shared" si="127"/>
        <v>108422345</v>
      </c>
      <c r="BF1016" s="30">
        <f t="shared" si="128"/>
        <v>165375385</v>
      </c>
      <c r="BG1016" s="18">
        <f t="shared" si="129"/>
        <v>0</v>
      </c>
      <c r="BH1016" s="23"/>
      <c r="BI1016" s="23"/>
      <c r="BJ1016" s="23"/>
    </row>
    <row r="1017" spans="1:66" ht="15" customHeight="1" x14ac:dyDescent="0.2">
      <c r="A1017" s="1">
        <v>8000971766</v>
      </c>
      <c r="B1017" s="1">
        <v>800097176</v>
      </c>
      <c r="C1017" s="15">
        <v>219741797</v>
      </c>
      <c r="D1017" s="16" t="s">
        <v>623</v>
      </c>
      <c r="E1017" s="41" t="s">
        <v>1643</v>
      </c>
      <c r="F1017" s="28"/>
      <c r="G1017" s="2"/>
      <c r="H1017" s="3"/>
      <c r="I1017" s="2"/>
      <c r="J1017" s="29"/>
      <c r="K1017" s="3"/>
      <c r="L1017" s="2"/>
      <c r="M1017" s="8"/>
      <c r="N1017" s="3"/>
      <c r="O1017" s="2"/>
      <c r="P1017" s="3"/>
      <c r="Q1017" s="2"/>
      <c r="R1017" s="3"/>
      <c r="S1017" s="3"/>
      <c r="T1017" s="2"/>
      <c r="U1017" s="8">
        <f t="shared" si="124"/>
        <v>0</v>
      </c>
      <c r="V1017" s="8"/>
      <c r="W1017" s="8"/>
      <c r="X1017" s="8"/>
      <c r="Y1017" s="8"/>
      <c r="Z1017" s="8"/>
      <c r="AA1017" s="8"/>
      <c r="AB1017" s="8"/>
      <c r="AC1017" s="8">
        <f t="shared" si="125"/>
        <v>0</v>
      </c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8"/>
      <c r="AO1017" s="8"/>
      <c r="AP1017" s="8"/>
      <c r="AQ1017" s="8"/>
      <c r="AR1017" s="8"/>
      <c r="AS1017" s="8"/>
      <c r="AT1017" s="8"/>
      <c r="AU1017" s="8"/>
      <c r="AV1017" s="8"/>
      <c r="AW1017" s="8"/>
      <c r="AX1017" s="8"/>
      <c r="AY1017" s="8">
        <v>64844045</v>
      </c>
      <c r="AZ1017" s="8"/>
      <c r="BA1017" s="8">
        <f>VLOOKUP(B1017,[1]Hoja3!J$3:K$674,2,0)</f>
        <v>163657290</v>
      </c>
      <c r="BB1017" s="8"/>
      <c r="BC1017" s="8">
        <f t="shared" si="126"/>
        <v>228501335</v>
      </c>
      <c r="BD1017" s="4">
        <v>64844045</v>
      </c>
      <c r="BE1017" s="4">
        <f t="shared" si="127"/>
        <v>163657290</v>
      </c>
      <c r="BF1017" s="30">
        <f t="shared" si="128"/>
        <v>228501335</v>
      </c>
      <c r="BG1017" s="18">
        <f t="shared" si="129"/>
        <v>0</v>
      </c>
      <c r="BH1017" s="23"/>
      <c r="BI1017" s="23"/>
      <c r="BJ1017" s="23"/>
    </row>
    <row r="1018" spans="1:66" ht="15" customHeight="1" x14ac:dyDescent="0.2">
      <c r="A1018" s="1">
        <v>8000186895</v>
      </c>
      <c r="B1018" s="1">
        <v>800018689</v>
      </c>
      <c r="C1018" s="15">
        <v>210525805</v>
      </c>
      <c r="D1018" s="16" t="s">
        <v>549</v>
      </c>
      <c r="E1018" s="41" t="s">
        <v>1572</v>
      </c>
      <c r="F1018" s="28"/>
      <c r="G1018" s="2"/>
      <c r="H1018" s="3"/>
      <c r="I1018" s="2"/>
      <c r="J1018" s="29"/>
      <c r="K1018" s="3"/>
      <c r="L1018" s="2"/>
      <c r="M1018" s="8"/>
      <c r="N1018" s="3"/>
      <c r="O1018" s="2"/>
      <c r="P1018" s="3"/>
      <c r="Q1018" s="2"/>
      <c r="R1018" s="3"/>
      <c r="S1018" s="3"/>
      <c r="T1018" s="2"/>
      <c r="U1018" s="8">
        <f t="shared" si="124"/>
        <v>0</v>
      </c>
      <c r="V1018" s="8"/>
      <c r="W1018" s="8"/>
      <c r="X1018" s="8"/>
      <c r="Y1018" s="8"/>
      <c r="Z1018" s="8"/>
      <c r="AA1018" s="8"/>
      <c r="AB1018" s="8"/>
      <c r="AC1018" s="8">
        <f t="shared" si="125"/>
        <v>0</v>
      </c>
      <c r="AD1018" s="8"/>
      <c r="AE1018" s="8"/>
      <c r="AF1018" s="8"/>
      <c r="AG1018" s="8"/>
      <c r="AH1018" s="8"/>
      <c r="AI1018" s="8"/>
      <c r="AJ1018" s="8"/>
      <c r="AK1018" s="8"/>
      <c r="AL1018" s="8"/>
      <c r="AM1018" s="8">
        <v>69052154</v>
      </c>
      <c r="AN1018" s="8">
        <f>SUBTOTAL(9,AC1018:AM1018)</f>
        <v>69052154</v>
      </c>
      <c r="AO1018" s="8"/>
      <c r="AP1018" s="8"/>
      <c r="AQ1018" s="8"/>
      <c r="AR1018" s="8"/>
      <c r="AS1018" s="8"/>
      <c r="AT1018" s="8"/>
      <c r="AU1018" s="8"/>
      <c r="AV1018" s="8"/>
      <c r="AW1018" s="8"/>
      <c r="AX1018" s="8"/>
      <c r="AY1018" s="8">
        <v>28066965</v>
      </c>
      <c r="AZ1018" s="8"/>
      <c r="BA1018" s="8"/>
      <c r="BB1018" s="8"/>
      <c r="BC1018" s="8">
        <f t="shared" si="126"/>
        <v>97119119</v>
      </c>
      <c r="BD1018" s="4">
        <v>28066965</v>
      </c>
      <c r="BE1018" s="4">
        <f t="shared" si="127"/>
        <v>69052154</v>
      </c>
      <c r="BF1018" s="30">
        <f t="shared" si="128"/>
        <v>97119119</v>
      </c>
      <c r="BG1018" s="18">
        <f t="shared" si="129"/>
        <v>0</v>
      </c>
      <c r="BH1018" s="23"/>
      <c r="BI1018" s="23"/>
      <c r="BJ1018" s="23"/>
    </row>
    <row r="1019" spans="1:66" ht="15" customHeight="1" x14ac:dyDescent="0.2">
      <c r="A1019" s="1">
        <v>8918008603</v>
      </c>
      <c r="B1019" s="1">
        <v>891800860</v>
      </c>
      <c r="C1019" s="15">
        <v>210415804</v>
      </c>
      <c r="D1019" s="16" t="s">
        <v>320</v>
      </c>
      <c r="E1019" s="41" t="s">
        <v>1352</v>
      </c>
      <c r="F1019" s="28"/>
      <c r="G1019" s="17"/>
      <c r="H1019" s="3"/>
      <c r="I1019" s="2"/>
      <c r="J1019" s="29"/>
      <c r="K1019" s="3"/>
      <c r="L1019" s="17"/>
      <c r="M1019" s="34"/>
      <c r="N1019" s="3"/>
      <c r="O1019" s="17"/>
      <c r="P1019" s="3"/>
      <c r="Q1019" s="2"/>
      <c r="R1019" s="3"/>
      <c r="S1019" s="3"/>
      <c r="T1019" s="17"/>
      <c r="U1019" s="8">
        <f t="shared" si="124"/>
        <v>0</v>
      </c>
      <c r="V1019" s="8"/>
      <c r="W1019" s="8"/>
      <c r="X1019" s="8"/>
      <c r="Y1019" s="8"/>
      <c r="Z1019" s="8"/>
      <c r="AA1019" s="8"/>
      <c r="AB1019" s="8"/>
      <c r="AC1019" s="8">
        <f t="shared" si="125"/>
        <v>0</v>
      </c>
      <c r="AD1019" s="8"/>
      <c r="AE1019" s="8"/>
      <c r="AF1019" s="8"/>
      <c r="AG1019" s="8"/>
      <c r="AH1019" s="8"/>
      <c r="AI1019" s="8"/>
      <c r="AJ1019" s="8"/>
      <c r="AK1019" s="8"/>
      <c r="AL1019" s="8"/>
      <c r="AM1019" s="8"/>
      <c r="AN1019" s="8"/>
      <c r="AO1019" s="8"/>
      <c r="AP1019" s="8"/>
      <c r="AQ1019" s="8"/>
      <c r="AR1019" s="8"/>
      <c r="AS1019" s="8"/>
      <c r="AT1019" s="8"/>
      <c r="AU1019" s="8"/>
      <c r="AV1019" s="8"/>
      <c r="AW1019" s="8"/>
      <c r="AX1019" s="8"/>
      <c r="AY1019" s="8">
        <v>64150170</v>
      </c>
      <c r="AZ1019" s="8"/>
      <c r="BA1019" s="8">
        <f>VLOOKUP(B1019,[1]Hoja3!J$3:K$674,2,0)</f>
        <v>130482277</v>
      </c>
      <c r="BB1019" s="8"/>
      <c r="BC1019" s="8">
        <f t="shared" si="126"/>
        <v>194632447</v>
      </c>
      <c r="BD1019" s="4">
        <v>64150170</v>
      </c>
      <c r="BE1019" s="4">
        <f t="shared" si="127"/>
        <v>130482277</v>
      </c>
      <c r="BF1019" s="30">
        <f t="shared" si="128"/>
        <v>194632447</v>
      </c>
      <c r="BG1019" s="18">
        <f t="shared" si="129"/>
        <v>0</v>
      </c>
      <c r="BH1019" s="23"/>
      <c r="BI1019" s="14"/>
      <c r="BJ1019" s="14"/>
      <c r="BK1019" s="14"/>
      <c r="BL1019" s="14"/>
      <c r="BM1019" s="14"/>
      <c r="BN1019" s="14"/>
    </row>
    <row r="1020" spans="1:66" ht="15" customHeight="1" x14ac:dyDescent="0.2">
      <c r="A1020" s="1">
        <v>8918553616</v>
      </c>
      <c r="B1020" s="1">
        <v>891855361</v>
      </c>
      <c r="C1020" s="15">
        <v>210615806</v>
      </c>
      <c r="D1020" s="16" t="s">
        <v>321</v>
      </c>
      <c r="E1020" s="41" t="s">
        <v>1353</v>
      </c>
      <c r="F1020" s="28"/>
      <c r="G1020" s="17"/>
      <c r="H1020" s="3"/>
      <c r="I1020" s="2"/>
      <c r="J1020" s="29"/>
      <c r="K1020" s="3"/>
      <c r="L1020" s="17"/>
      <c r="M1020" s="34"/>
      <c r="N1020" s="3"/>
      <c r="O1020" s="17"/>
      <c r="P1020" s="3"/>
      <c r="Q1020" s="2"/>
      <c r="R1020" s="3"/>
      <c r="S1020" s="3"/>
      <c r="T1020" s="17"/>
      <c r="U1020" s="8">
        <f t="shared" si="124"/>
        <v>0</v>
      </c>
      <c r="V1020" s="8"/>
      <c r="W1020" s="8"/>
      <c r="X1020" s="8"/>
      <c r="Y1020" s="8"/>
      <c r="Z1020" s="8"/>
      <c r="AA1020" s="8"/>
      <c r="AB1020" s="8"/>
      <c r="AC1020" s="8">
        <f t="shared" si="125"/>
        <v>0</v>
      </c>
      <c r="AD1020" s="8"/>
      <c r="AE1020" s="8"/>
      <c r="AF1020" s="8"/>
      <c r="AG1020" s="8"/>
      <c r="AH1020" s="8"/>
      <c r="AI1020" s="8"/>
      <c r="AJ1020" s="8"/>
      <c r="AK1020" s="8"/>
      <c r="AL1020" s="8"/>
      <c r="AM1020" s="8">
        <v>156399121</v>
      </c>
      <c r="AN1020" s="8">
        <f>SUBTOTAL(9,AC1020:AM1020)</f>
        <v>156399121</v>
      </c>
      <c r="AO1020" s="8"/>
      <c r="AP1020" s="8"/>
      <c r="AQ1020" s="8"/>
      <c r="AR1020" s="8"/>
      <c r="AS1020" s="8"/>
      <c r="AT1020" s="8"/>
      <c r="AU1020" s="8"/>
      <c r="AV1020" s="8"/>
      <c r="AW1020" s="8"/>
      <c r="AX1020" s="8"/>
      <c r="AY1020" s="8">
        <v>73500020</v>
      </c>
      <c r="AZ1020" s="8"/>
      <c r="BA1020" s="8">
        <f>VLOOKUP(B1020,[1]Hoja3!J$3:K$674,2,0)</f>
        <v>10294882</v>
      </c>
      <c r="BB1020" s="8"/>
      <c r="BC1020" s="8">
        <f t="shared" si="126"/>
        <v>240194023</v>
      </c>
      <c r="BD1020" s="4">
        <v>73500020</v>
      </c>
      <c r="BE1020" s="4">
        <f t="shared" si="127"/>
        <v>166694003</v>
      </c>
      <c r="BF1020" s="30">
        <f t="shared" si="128"/>
        <v>240194023</v>
      </c>
      <c r="BG1020" s="18">
        <f t="shared" si="129"/>
        <v>0</v>
      </c>
      <c r="BH1020" s="23"/>
      <c r="BI1020" s="14"/>
      <c r="BJ1020" s="14"/>
      <c r="BK1020" s="14"/>
      <c r="BL1020" s="14"/>
      <c r="BM1020" s="14"/>
      <c r="BN1020" s="14"/>
    </row>
    <row r="1021" spans="1:66" ht="15" customHeight="1" x14ac:dyDescent="0.2">
      <c r="A1021" s="1">
        <v>8000947826</v>
      </c>
      <c r="B1021" s="1">
        <v>800094782</v>
      </c>
      <c r="C1021" s="15">
        <v>210725807</v>
      </c>
      <c r="D1021" s="16" t="s">
        <v>550</v>
      </c>
      <c r="E1021" s="41" t="s">
        <v>1573</v>
      </c>
      <c r="F1021" s="28"/>
      <c r="G1021" s="2"/>
      <c r="H1021" s="3"/>
      <c r="I1021" s="2"/>
      <c r="J1021" s="29"/>
      <c r="K1021" s="3"/>
      <c r="L1021" s="2"/>
      <c r="M1021" s="8"/>
      <c r="N1021" s="3"/>
      <c r="O1021" s="2"/>
      <c r="P1021" s="3"/>
      <c r="Q1021" s="2"/>
      <c r="R1021" s="3"/>
      <c r="S1021" s="3"/>
      <c r="T1021" s="2"/>
      <c r="U1021" s="8">
        <f t="shared" si="124"/>
        <v>0</v>
      </c>
      <c r="V1021" s="8"/>
      <c r="W1021" s="8"/>
      <c r="X1021" s="8"/>
      <c r="Y1021" s="8"/>
      <c r="Z1021" s="8"/>
      <c r="AA1021" s="8"/>
      <c r="AB1021" s="8"/>
      <c r="AC1021" s="8">
        <f t="shared" si="125"/>
        <v>0</v>
      </c>
      <c r="AD1021" s="8"/>
      <c r="AE1021" s="8"/>
      <c r="AF1021" s="8"/>
      <c r="AG1021" s="8"/>
      <c r="AH1021" s="8"/>
      <c r="AI1021" s="8"/>
      <c r="AJ1021" s="8"/>
      <c r="AK1021" s="8"/>
      <c r="AL1021" s="8"/>
      <c r="AM1021" s="8">
        <v>40410970</v>
      </c>
      <c r="AN1021" s="8">
        <f>SUBTOTAL(9,AC1021:AM1021)</f>
        <v>40410970</v>
      </c>
      <c r="AO1021" s="8"/>
      <c r="AP1021" s="8"/>
      <c r="AQ1021" s="8"/>
      <c r="AR1021" s="8"/>
      <c r="AS1021" s="8"/>
      <c r="AT1021" s="8"/>
      <c r="AU1021" s="8"/>
      <c r="AV1021" s="8"/>
      <c r="AW1021" s="8"/>
      <c r="AX1021" s="8"/>
      <c r="AY1021" s="8">
        <v>17031565</v>
      </c>
      <c r="AZ1021" s="8"/>
      <c r="BA1021" s="8"/>
      <c r="BB1021" s="8"/>
      <c r="BC1021" s="8">
        <f t="shared" si="126"/>
        <v>57442535</v>
      </c>
      <c r="BD1021" s="4">
        <v>17031565</v>
      </c>
      <c r="BE1021" s="4">
        <f t="shared" si="127"/>
        <v>40410970</v>
      </c>
      <c r="BF1021" s="30">
        <f t="shared" si="128"/>
        <v>57442535</v>
      </c>
      <c r="BG1021" s="18">
        <f t="shared" si="129"/>
        <v>0</v>
      </c>
      <c r="BH1021" s="23"/>
      <c r="BI1021" s="23"/>
      <c r="BJ1021" s="23"/>
    </row>
    <row r="1022" spans="1:66" ht="15" customHeight="1" x14ac:dyDescent="0.2">
      <c r="A1022" s="1">
        <v>8000706824</v>
      </c>
      <c r="B1022" s="1">
        <v>800070682</v>
      </c>
      <c r="C1022" s="15">
        <v>211054810</v>
      </c>
      <c r="D1022" s="16" t="s">
        <v>786</v>
      </c>
      <c r="E1022" s="41" t="s">
        <v>1803</v>
      </c>
      <c r="F1022" s="28"/>
      <c r="G1022" s="2"/>
      <c r="H1022" s="3"/>
      <c r="I1022" s="2"/>
      <c r="J1022" s="29"/>
      <c r="K1022" s="3"/>
      <c r="L1022" s="2"/>
      <c r="M1022" s="8"/>
      <c r="N1022" s="3"/>
      <c r="O1022" s="2"/>
      <c r="P1022" s="3"/>
      <c r="Q1022" s="2"/>
      <c r="R1022" s="3"/>
      <c r="S1022" s="3"/>
      <c r="T1022" s="2"/>
      <c r="U1022" s="8">
        <f t="shared" si="124"/>
        <v>0</v>
      </c>
      <c r="V1022" s="8"/>
      <c r="W1022" s="8"/>
      <c r="X1022" s="8"/>
      <c r="Y1022" s="8"/>
      <c r="Z1022" s="8"/>
      <c r="AA1022" s="8"/>
      <c r="AB1022" s="8"/>
      <c r="AC1022" s="8">
        <f t="shared" si="125"/>
        <v>0</v>
      </c>
      <c r="AD1022" s="8"/>
      <c r="AE1022" s="8"/>
      <c r="AF1022" s="8"/>
      <c r="AG1022" s="8"/>
      <c r="AH1022" s="8"/>
      <c r="AI1022" s="8"/>
      <c r="AJ1022" s="8"/>
      <c r="AK1022" s="8"/>
      <c r="AL1022" s="8"/>
      <c r="AM1022" s="8">
        <v>99803649</v>
      </c>
      <c r="AN1022" s="8">
        <f>SUBTOTAL(9,AC1022:AM1022)</f>
        <v>99803649</v>
      </c>
      <c r="AO1022" s="8"/>
      <c r="AP1022" s="8"/>
      <c r="AQ1022" s="8"/>
      <c r="AR1022" s="8"/>
      <c r="AS1022" s="8"/>
      <c r="AT1022" s="8"/>
      <c r="AU1022" s="8"/>
      <c r="AV1022" s="8"/>
      <c r="AW1022" s="8"/>
      <c r="AX1022" s="8"/>
      <c r="AY1022" s="8">
        <v>527586935</v>
      </c>
      <c r="AZ1022" s="8"/>
      <c r="BA1022" s="8">
        <f>VLOOKUP(B1022,[1]Hoja3!J$3:K$674,2,0)</f>
        <v>458290083</v>
      </c>
      <c r="BB1022" s="8"/>
      <c r="BC1022" s="8">
        <f t="shared" si="126"/>
        <v>1085680667</v>
      </c>
      <c r="BD1022" s="4">
        <v>527586935</v>
      </c>
      <c r="BE1022" s="4">
        <f t="shared" si="127"/>
        <v>558093732</v>
      </c>
      <c r="BF1022" s="30">
        <f t="shared" si="128"/>
        <v>1085680667</v>
      </c>
      <c r="BG1022" s="18">
        <f t="shared" si="129"/>
        <v>0</v>
      </c>
      <c r="BH1022" s="23"/>
      <c r="BI1022" s="23"/>
      <c r="BJ1022" s="23"/>
    </row>
    <row r="1023" spans="1:66" ht="15" customHeight="1" x14ac:dyDescent="0.2">
      <c r="A1023" s="1">
        <v>8000968070</v>
      </c>
      <c r="B1023" s="1">
        <v>800096807</v>
      </c>
      <c r="C1023" s="15">
        <v>210723807</v>
      </c>
      <c r="D1023" s="16" t="s">
        <v>458</v>
      </c>
      <c r="E1023" s="41" t="s">
        <v>1485</v>
      </c>
      <c r="F1023" s="28"/>
      <c r="G1023" s="2"/>
      <c r="H1023" s="3"/>
      <c r="I1023" s="2"/>
      <c r="J1023" s="29"/>
      <c r="K1023" s="3"/>
      <c r="L1023" s="2"/>
      <c r="M1023" s="8"/>
      <c r="N1023" s="3"/>
      <c r="O1023" s="2"/>
      <c r="P1023" s="3"/>
      <c r="Q1023" s="2"/>
      <c r="R1023" s="3"/>
      <c r="S1023" s="3"/>
      <c r="T1023" s="2"/>
      <c r="U1023" s="8">
        <f t="shared" si="124"/>
        <v>0</v>
      </c>
      <c r="V1023" s="8"/>
      <c r="W1023" s="8"/>
      <c r="X1023" s="8"/>
      <c r="Y1023" s="8"/>
      <c r="Z1023" s="8"/>
      <c r="AA1023" s="8"/>
      <c r="AB1023" s="8"/>
      <c r="AC1023" s="8">
        <f t="shared" si="125"/>
        <v>0</v>
      </c>
      <c r="AD1023" s="8"/>
      <c r="AE1023" s="8"/>
      <c r="AF1023" s="8"/>
      <c r="AG1023" s="8"/>
      <c r="AH1023" s="8"/>
      <c r="AI1023" s="8"/>
      <c r="AJ1023" s="8"/>
      <c r="AK1023" s="8"/>
      <c r="AL1023" s="8"/>
      <c r="AM1023" s="8">
        <v>1456419024</v>
      </c>
      <c r="AN1023" s="8">
        <f>SUBTOTAL(9,AC1023:AM1023)</f>
        <v>1456419024</v>
      </c>
      <c r="AO1023" s="8"/>
      <c r="AP1023" s="8"/>
      <c r="AQ1023" s="8"/>
      <c r="AR1023" s="8"/>
      <c r="AS1023" s="8"/>
      <c r="AT1023" s="8"/>
      <c r="AU1023" s="8"/>
      <c r="AV1023" s="8"/>
      <c r="AW1023" s="8"/>
      <c r="AX1023" s="8"/>
      <c r="AY1023" s="8"/>
      <c r="AZ1023" s="8"/>
      <c r="BA1023" s="8"/>
      <c r="BB1023" s="8"/>
      <c r="BC1023" s="8">
        <f t="shared" si="126"/>
        <v>1456419024</v>
      </c>
      <c r="BD1023" s="4"/>
      <c r="BE1023" s="4">
        <f t="shared" si="127"/>
        <v>1456419024</v>
      </c>
      <c r="BF1023" s="30">
        <f t="shared" si="128"/>
        <v>1456419024</v>
      </c>
      <c r="BG1023" s="18">
        <f t="shared" si="129"/>
        <v>0</v>
      </c>
      <c r="BH1023" s="23"/>
      <c r="BI1023" s="23"/>
      <c r="BJ1023" s="23"/>
    </row>
    <row r="1024" spans="1:66" ht="15" customHeight="1" x14ac:dyDescent="0.2">
      <c r="A1024" s="1">
        <v>8911801826</v>
      </c>
      <c r="B1024" s="1">
        <v>891180182</v>
      </c>
      <c r="C1024" s="15">
        <v>210741807</v>
      </c>
      <c r="D1024" s="16" t="s">
        <v>626</v>
      </c>
      <c r="E1024" s="41" t="s">
        <v>1646</v>
      </c>
      <c r="F1024" s="28"/>
      <c r="G1024" s="2"/>
      <c r="H1024" s="3"/>
      <c r="I1024" s="2"/>
      <c r="J1024" s="29"/>
      <c r="K1024" s="3"/>
      <c r="L1024" s="2"/>
      <c r="M1024" s="8"/>
      <c r="N1024" s="3"/>
      <c r="O1024" s="2"/>
      <c r="P1024" s="3"/>
      <c r="Q1024" s="2"/>
      <c r="R1024" s="3"/>
      <c r="S1024" s="3"/>
      <c r="T1024" s="2"/>
      <c r="U1024" s="8">
        <f t="shared" si="124"/>
        <v>0</v>
      </c>
      <c r="V1024" s="8"/>
      <c r="W1024" s="8"/>
      <c r="X1024" s="8"/>
      <c r="Y1024" s="8"/>
      <c r="Z1024" s="8"/>
      <c r="AA1024" s="8"/>
      <c r="AB1024" s="8"/>
      <c r="AC1024" s="8">
        <f t="shared" si="125"/>
        <v>0</v>
      </c>
      <c r="AD1024" s="8"/>
      <c r="AE1024" s="8"/>
      <c r="AF1024" s="8"/>
      <c r="AG1024" s="8"/>
      <c r="AH1024" s="8"/>
      <c r="AI1024" s="8"/>
      <c r="AJ1024" s="8"/>
      <c r="AK1024" s="8"/>
      <c r="AL1024" s="8"/>
      <c r="AM1024" s="8"/>
      <c r="AN1024" s="8"/>
      <c r="AO1024" s="8"/>
      <c r="AP1024" s="8"/>
      <c r="AQ1024" s="8"/>
      <c r="AR1024" s="8"/>
      <c r="AS1024" s="8"/>
      <c r="AT1024" s="8"/>
      <c r="AU1024" s="8"/>
      <c r="AV1024" s="8"/>
      <c r="AW1024" s="8"/>
      <c r="AX1024" s="8"/>
      <c r="AY1024" s="8">
        <v>132247300</v>
      </c>
      <c r="AZ1024" s="8"/>
      <c r="BA1024" s="8">
        <f>VLOOKUP(B1024,[1]Hoja3!J$3:K$674,2,0)</f>
        <v>326867162</v>
      </c>
      <c r="BB1024" s="8"/>
      <c r="BC1024" s="8">
        <f t="shared" si="126"/>
        <v>459114462</v>
      </c>
      <c r="BD1024" s="4">
        <v>132247300</v>
      </c>
      <c r="BE1024" s="4">
        <f t="shared" si="127"/>
        <v>326867162</v>
      </c>
      <c r="BF1024" s="30">
        <f t="shared" si="128"/>
        <v>459114462</v>
      </c>
      <c r="BG1024" s="18">
        <f t="shared" si="129"/>
        <v>0</v>
      </c>
      <c r="BH1024" s="23"/>
      <c r="BI1024" s="23"/>
      <c r="BJ1024" s="23"/>
    </row>
    <row r="1025" spans="1:66" ht="15" customHeight="1" x14ac:dyDescent="0.2">
      <c r="A1025" s="1">
        <v>8915007425</v>
      </c>
      <c r="B1025" s="1">
        <v>891500742</v>
      </c>
      <c r="C1025" s="15">
        <v>210719807</v>
      </c>
      <c r="D1025" s="16" t="s">
        <v>408</v>
      </c>
      <c r="E1025" s="41" t="s">
        <v>1430</v>
      </c>
      <c r="F1025" s="28"/>
      <c r="G1025" s="2"/>
      <c r="H1025" s="3"/>
      <c r="I1025" s="2"/>
      <c r="J1025" s="29"/>
      <c r="K1025" s="3"/>
      <c r="L1025" s="2"/>
      <c r="M1025" s="8"/>
      <c r="N1025" s="3"/>
      <c r="O1025" s="2"/>
      <c r="P1025" s="3"/>
      <c r="Q1025" s="2"/>
      <c r="R1025" s="3"/>
      <c r="S1025" s="3"/>
      <c r="T1025" s="2"/>
      <c r="U1025" s="8">
        <f t="shared" si="124"/>
        <v>0</v>
      </c>
      <c r="V1025" s="8"/>
      <c r="W1025" s="8"/>
      <c r="X1025" s="8"/>
      <c r="Y1025" s="8"/>
      <c r="Z1025" s="8"/>
      <c r="AA1025" s="8"/>
      <c r="AB1025" s="8"/>
      <c r="AC1025" s="8">
        <f t="shared" si="125"/>
        <v>0</v>
      </c>
      <c r="AD1025" s="8"/>
      <c r="AE1025" s="8"/>
      <c r="AF1025" s="8"/>
      <c r="AG1025" s="8"/>
      <c r="AH1025" s="8"/>
      <c r="AI1025" s="8"/>
      <c r="AJ1025" s="8"/>
      <c r="AK1025" s="8"/>
      <c r="AL1025" s="8"/>
      <c r="AM1025" s="8"/>
      <c r="AN1025" s="8"/>
      <c r="AO1025" s="8"/>
      <c r="AP1025" s="8"/>
      <c r="AQ1025" s="8"/>
      <c r="AR1025" s="8"/>
      <c r="AS1025" s="8"/>
      <c r="AT1025" s="8"/>
      <c r="AU1025" s="8"/>
      <c r="AV1025" s="8"/>
      <c r="AW1025" s="8"/>
      <c r="AX1025" s="8"/>
      <c r="AY1025" s="8"/>
      <c r="AZ1025" s="8"/>
      <c r="BA1025" s="8">
        <f>VLOOKUP(B1025,[1]Hoja3!J$3:K$674,2,0)</f>
        <v>412627379</v>
      </c>
      <c r="BB1025" s="8"/>
      <c r="BC1025" s="8">
        <f t="shared" si="126"/>
        <v>412627379</v>
      </c>
      <c r="BD1025" s="4"/>
      <c r="BE1025" s="4">
        <f t="shared" si="127"/>
        <v>412627379</v>
      </c>
      <c r="BF1025" s="30">
        <f t="shared" si="128"/>
        <v>412627379</v>
      </c>
      <c r="BG1025" s="18">
        <f t="shared" si="129"/>
        <v>0</v>
      </c>
      <c r="BH1025" s="23"/>
      <c r="BI1025" s="23"/>
      <c r="BJ1025" s="23"/>
    </row>
    <row r="1026" spans="1:66" ht="15" customHeight="1" x14ac:dyDescent="0.2">
      <c r="A1026" s="1">
        <v>8000511671</v>
      </c>
      <c r="B1026" s="1">
        <v>800051167</v>
      </c>
      <c r="C1026" s="15">
        <v>210919809</v>
      </c>
      <c r="D1026" s="16" t="s">
        <v>409</v>
      </c>
      <c r="E1026" s="41" t="s">
        <v>1437</v>
      </c>
      <c r="F1026" s="28"/>
      <c r="G1026" s="2"/>
      <c r="H1026" s="3"/>
      <c r="I1026" s="2"/>
      <c r="J1026" s="29"/>
      <c r="K1026" s="3"/>
      <c r="L1026" s="2"/>
      <c r="M1026" s="8"/>
      <c r="N1026" s="3"/>
      <c r="O1026" s="2"/>
      <c r="P1026" s="3"/>
      <c r="Q1026" s="2"/>
      <c r="R1026" s="3"/>
      <c r="S1026" s="3"/>
      <c r="T1026" s="2"/>
      <c r="U1026" s="8">
        <f t="shared" si="124"/>
        <v>0</v>
      </c>
      <c r="V1026" s="8"/>
      <c r="W1026" s="8"/>
      <c r="X1026" s="8"/>
      <c r="Y1026" s="8"/>
      <c r="Z1026" s="8"/>
      <c r="AA1026" s="8"/>
      <c r="AB1026" s="8"/>
      <c r="AC1026" s="8">
        <f t="shared" si="125"/>
        <v>0</v>
      </c>
      <c r="AD1026" s="8"/>
      <c r="AE1026" s="8"/>
      <c r="AF1026" s="8"/>
      <c r="AG1026" s="8"/>
      <c r="AH1026" s="8"/>
      <c r="AI1026" s="8"/>
      <c r="AJ1026" s="8"/>
      <c r="AK1026" s="8"/>
      <c r="AL1026" s="8"/>
      <c r="AM1026" s="8"/>
      <c r="AN1026" s="8"/>
      <c r="AO1026" s="8"/>
      <c r="AP1026" s="8"/>
      <c r="AQ1026" s="8"/>
      <c r="AR1026" s="8"/>
      <c r="AS1026" s="8"/>
      <c r="AT1026" s="8"/>
      <c r="AU1026" s="8"/>
      <c r="AV1026" s="8"/>
      <c r="AW1026" s="8"/>
      <c r="AX1026" s="8"/>
      <c r="AY1026" s="8"/>
      <c r="AZ1026" s="8"/>
      <c r="BA1026" s="8">
        <f>VLOOKUP(B1026,[1]Hoja3!J$3:K$674,2,0)</f>
        <v>339158512</v>
      </c>
      <c r="BB1026" s="8"/>
      <c r="BC1026" s="8">
        <f t="shared" si="126"/>
        <v>339158512</v>
      </c>
      <c r="BD1026" s="4"/>
      <c r="BE1026" s="4">
        <f t="shared" si="127"/>
        <v>339158512</v>
      </c>
      <c r="BF1026" s="30">
        <f t="shared" si="128"/>
        <v>339158512</v>
      </c>
      <c r="BG1026" s="18">
        <f t="shared" si="129"/>
        <v>0</v>
      </c>
      <c r="BH1026" s="23"/>
      <c r="BI1026" s="23"/>
      <c r="BJ1026" s="23"/>
    </row>
    <row r="1027" spans="1:66" ht="15" customHeight="1" x14ac:dyDescent="0.2">
      <c r="A1027" s="1">
        <v>8000284361</v>
      </c>
      <c r="B1027" s="1">
        <v>800028436</v>
      </c>
      <c r="C1027" s="15">
        <v>210815808</v>
      </c>
      <c r="D1027" s="16" t="s">
        <v>322</v>
      </c>
      <c r="E1027" s="41" t="s">
        <v>1354</v>
      </c>
      <c r="F1027" s="28"/>
      <c r="G1027" s="17"/>
      <c r="H1027" s="3"/>
      <c r="I1027" s="2"/>
      <c r="J1027" s="29"/>
      <c r="K1027" s="3"/>
      <c r="L1027" s="17"/>
      <c r="M1027" s="34"/>
      <c r="N1027" s="3"/>
      <c r="O1027" s="17"/>
      <c r="P1027" s="3"/>
      <c r="Q1027" s="2"/>
      <c r="R1027" s="3"/>
      <c r="S1027" s="3"/>
      <c r="T1027" s="17"/>
      <c r="U1027" s="8">
        <f t="shared" ref="U1027:U1090" si="132">SUM(M1027:T1027)</f>
        <v>0</v>
      </c>
      <c r="V1027" s="8"/>
      <c r="W1027" s="8"/>
      <c r="X1027" s="8"/>
      <c r="Y1027" s="8"/>
      <c r="Z1027" s="8"/>
      <c r="AA1027" s="8"/>
      <c r="AB1027" s="8"/>
      <c r="AC1027" s="8">
        <f t="shared" si="125"/>
        <v>0</v>
      </c>
      <c r="AD1027" s="8"/>
      <c r="AE1027" s="8"/>
      <c r="AF1027" s="8"/>
      <c r="AG1027" s="8"/>
      <c r="AH1027" s="8"/>
      <c r="AI1027" s="8"/>
      <c r="AJ1027" s="8"/>
      <c r="AK1027" s="8"/>
      <c r="AL1027" s="8"/>
      <c r="AM1027" s="8">
        <v>39691467</v>
      </c>
      <c r="AN1027" s="8">
        <f>SUBTOTAL(9,AC1027:AM1027)</f>
        <v>39691467</v>
      </c>
      <c r="AO1027" s="8"/>
      <c r="AP1027" s="8"/>
      <c r="AQ1027" s="8"/>
      <c r="AR1027" s="8"/>
      <c r="AS1027" s="8"/>
      <c r="AT1027" s="8"/>
      <c r="AU1027" s="8"/>
      <c r="AV1027" s="8"/>
      <c r="AW1027" s="8"/>
      <c r="AX1027" s="8"/>
      <c r="AY1027" s="8">
        <v>20080355</v>
      </c>
      <c r="AZ1027" s="8"/>
      <c r="BA1027" s="8"/>
      <c r="BB1027" s="8"/>
      <c r="BC1027" s="8">
        <f t="shared" si="126"/>
        <v>59771822</v>
      </c>
      <c r="BD1027" s="4">
        <v>20080355</v>
      </c>
      <c r="BE1027" s="4">
        <f t="shared" si="127"/>
        <v>39691467</v>
      </c>
      <c r="BF1027" s="30">
        <f t="shared" si="128"/>
        <v>59771822</v>
      </c>
      <c r="BG1027" s="18">
        <f t="shared" si="129"/>
        <v>0</v>
      </c>
      <c r="BH1027" s="23"/>
      <c r="BI1027" s="14"/>
      <c r="BJ1027" s="14"/>
      <c r="BK1027" s="14"/>
      <c r="BL1027" s="14"/>
      <c r="BM1027" s="14"/>
      <c r="BN1027" s="14"/>
    </row>
    <row r="1028" spans="1:66" ht="15" customHeight="1" x14ac:dyDescent="0.2">
      <c r="A1028" s="1">
        <v>8000991876</v>
      </c>
      <c r="B1028" s="1">
        <v>800099187</v>
      </c>
      <c r="C1028" s="15">
        <v>211015810</v>
      </c>
      <c r="D1028" s="16" t="s">
        <v>323</v>
      </c>
      <c r="E1028" s="41" t="s">
        <v>1355</v>
      </c>
      <c r="F1028" s="28"/>
      <c r="G1028" s="17"/>
      <c r="H1028" s="3"/>
      <c r="I1028" s="2"/>
      <c r="J1028" s="29"/>
      <c r="K1028" s="3"/>
      <c r="L1028" s="17"/>
      <c r="M1028" s="34"/>
      <c r="N1028" s="3"/>
      <c r="O1028" s="17"/>
      <c r="P1028" s="3"/>
      <c r="Q1028" s="2"/>
      <c r="R1028" s="3"/>
      <c r="S1028" s="3"/>
      <c r="T1028" s="17"/>
      <c r="U1028" s="8">
        <f t="shared" si="132"/>
        <v>0</v>
      </c>
      <c r="V1028" s="8"/>
      <c r="W1028" s="8"/>
      <c r="X1028" s="8"/>
      <c r="Y1028" s="8"/>
      <c r="Z1028" s="8"/>
      <c r="AA1028" s="8"/>
      <c r="AB1028" s="8"/>
      <c r="AC1028" s="8">
        <f t="shared" ref="AC1028:AC1091" si="133">SUM(U1028:AB1028)</f>
        <v>0</v>
      </c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  <c r="AN1028" s="8"/>
      <c r="AO1028" s="8"/>
      <c r="AP1028" s="8"/>
      <c r="AQ1028" s="8"/>
      <c r="AR1028" s="8"/>
      <c r="AS1028" s="8"/>
      <c r="AT1028" s="8"/>
      <c r="AU1028" s="8"/>
      <c r="AV1028" s="8"/>
      <c r="AW1028" s="8"/>
      <c r="AX1028" s="8"/>
      <c r="AY1028" s="8"/>
      <c r="AZ1028" s="8"/>
      <c r="BA1028" s="8">
        <f>VLOOKUP(B1028,[1]Hoja3!J$3:K$674,2,0)</f>
        <v>52747027</v>
      </c>
      <c r="BB1028" s="8"/>
      <c r="BC1028" s="8">
        <f t="shared" ref="BC1028:BC1091" si="134">SUM(AN1028:BA1028)-BB1028</f>
        <v>52747027</v>
      </c>
      <c r="BD1028" s="4"/>
      <c r="BE1028" s="4">
        <f t="shared" ref="BE1028:BE1091" si="135">+AM1028+BA1028-BB1028</f>
        <v>52747027</v>
      </c>
      <c r="BF1028" s="30">
        <f t="shared" ref="BF1028:BF1091" si="136">+BD1028+BE1028</f>
        <v>52747027</v>
      </c>
      <c r="BG1028" s="18">
        <f t="shared" ref="BG1028:BG1091" si="137">+BC1028-BF1028</f>
        <v>0</v>
      </c>
      <c r="BH1028" s="23"/>
      <c r="BI1028" s="14"/>
      <c r="BJ1028" s="14"/>
      <c r="BK1028" s="14"/>
      <c r="BL1028" s="14"/>
      <c r="BM1028" s="14"/>
      <c r="BN1028" s="14"/>
    </row>
    <row r="1029" spans="1:66" ht="15" customHeight="1" x14ac:dyDescent="0.2">
      <c r="A1029" s="1">
        <v>8002552139</v>
      </c>
      <c r="B1029" s="1">
        <v>800255213</v>
      </c>
      <c r="C1029" s="15">
        <v>211013810</v>
      </c>
      <c r="D1029" s="16" t="s">
        <v>212</v>
      </c>
      <c r="E1029" s="41" t="s">
        <v>1247</v>
      </c>
      <c r="F1029" s="28"/>
      <c r="G1029" s="17"/>
      <c r="H1029" s="3"/>
      <c r="I1029" s="2"/>
      <c r="J1029" s="29"/>
      <c r="K1029" s="3"/>
      <c r="L1029" s="17"/>
      <c r="M1029" s="34"/>
      <c r="N1029" s="3"/>
      <c r="O1029" s="17"/>
      <c r="P1029" s="3"/>
      <c r="Q1029" s="2"/>
      <c r="R1029" s="3"/>
      <c r="S1029" s="3"/>
      <c r="T1029" s="17"/>
      <c r="U1029" s="8">
        <f t="shared" si="132"/>
        <v>0</v>
      </c>
      <c r="V1029" s="8"/>
      <c r="W1029" s="8"/>
      <c r="X1029" s="8"/>
      <c r="Y1029" s="8"/>
      <c r="Z1029" s="8"/>
      <c r="AA1029" s="8"/>
      <c r="AB1029" s="8"/>
      <c r="AC1029" s="8">
        <f t="shared" si="133"/>
        <v>0</v>
      </c>
      <c r="AD1029" s="8"/>
      <c r="AE1029" s="8"/>
      <c r="AF1029" s="8"/>
      <c r="AG1029" s="8"/>
      <c r="AH1029" s="8"/>
      <c r="AI1029" s="8"/>
      <c r="AJ1029" s="8"/>
      <c r="AK1029" s="8"/>
      <c r="AL1029" s="8"/>
      <c r="AM1029" s="8">
        <v>58725304</v>
      </c>
      <c r="AN1029" s="8">
        <f>SUBTOTAL(9,AC1029:AM1029)</f>
        <v>58725304</v>
      </c>
      <c r="AO1029" s="8"/>
      <c r="AP1029" s="8"/>
      <c r="AQ1029" s="8"/>
      <c r="AR1029" s="8"/>
      <c r="AS1029" s="8"/>
      <c r="AT1029" s="8"/>
      <c r="AU1029" s="8"/>
      <c r="AV1029" s="8"/>
      <c r="AW1029" s="8"/>
      <c r="AX1029" s="8"/>
      <c r="AY1029" s="8"/>
      <c r="AZ1029" s="8"/>
      <c r="BA1029" s="8">
        <f>VLOOKUP(B1029,[1]Hoja3!J$3:K$674,2,0)</f>
        <v>183667868</v>
      </c>
      <c r="BB1029" s="8"/>
      <c r="BC1029" s="8">
        <f t="shared" si="134"/>
        <v>242393172</v>
      </c>
      <c r="BD1029" s="4"/>
      <c r="BE1029" s="4">
        <f t="shared" si="135"/>
        <v>242393172</v>
      </c>
      <c r="BF1029" s="30">
        <f t="shared" si="136"/>
        <v>242393172</v>
      </c>
      <c r="BG1029" s="18">
        <f t="shared" si="137"/>
        <v>0</v>
      </c>
      <c r="BH1029" s="23"/>
      <c r="BI1029" s="14"/>
      <c r="BJ1029" s="14"/>
      <c r="BK1029" s="14"/>
      <c r="BL1029" s="14"/>
      <c r="BM1029" s="14"/>
      <c r="BN1029" s="14"/>
    </row>
    <row r="1030" spans="1:66" ht="15" customHeight="1" x14ac:dyDescent="0.2">
      <c r="A1030" s="1">
        <v>8909807817</v>
      </c>
      <c r="B1030" s="1">
        <v>890980781</v>
      </c>
      <c r="C1030" s="15">
        <v>210905809</v>
      </c>
      <c r="D1030" s="16" t="s">
        <v>147</v>
      </c>
      <c r="E1030" s="41" t="s">
        <v>1176</v>
      </c>
      <c r="F1030" s="28"/>
      <c r="G1030" s="2"/>
      <c r="H1030" s="3"/>
      <c r="I1030" s="2"/>
      <c r="J1030" s="29"/>
      <c r="K1030" s="3"/>
      <c r="L1030" s="2"/>
      <c r="M1030" s="8"/>
      <c r="N1030" s="3"/>
      <c r="O1030" s="2"/>
      <c r="P1030" s="3"/>
      <c r="Q1030" s="2"/>
      <c r="R1030" s="3"/>
      <c r="S1030" s="3"/>
      <c r="T1030" s="2"/>
      <c r="U1030" s="8">
        <f t="shared" si="132"/>
        <v>0</v>
      </c>
      <c r="V1030" s="8"/>
      <c r="W1030" s="8"/>
      <c r="X1030" s="8"/>
      <c r="Y1030" s="8"/>
      <c r="Z1030" s="8"/>
      <c r="AA1030" s="8"/>
      <c r="AB1030" s="8"/>
      <c r="AC1030" s="8">
        <f t="shared" si="133"/>
        <v>0</v>
      </c>
      <c r="AD1030" s="8"/>
      <c r="AE1030" s="8"/>
      <c r="AF1030" s="8"/>
      <c r="AG1030" s="8"/>
      <c r="AH1030" s="8"/>
      <c r="AI1030" s="8"/>
      <c r="AJ1030" s="8"/>
      <c r="AK1030" s="8"/>
      <c r="AL1030" s="8"/>
      <c r="AM1030" s="8">
        <v>40306580</v>
      </c>
      <c r="AN1030" s="8">
        <f>SUBTOTAL(9,AC1030:AM1030)</f>
        <v>40306580</v>
      </c>
      <c r="AO1030" s="8"/>
      <c r="AP1030" s="8"/>
      <c r="AQ1030" s="8"/>
      <c r="AR1030" s="8"/>
      <c r="AS1030" s="8"/>
      <c r="AT1030" s="8"/>
      <c r="AU1030" s="8"/>
      <c r="AV1030" s="8"/>
      <c r="AW1030" s="8"/>
      <c r="AX1030" s="8"/>
      <c r="AY1030" s="8">
        <v>60841130</v>
      </c>
      <c r="AZ1030" s="8"/>
      <c r="BA1030" s="8">
        <f>VLOOKUP(B1030,[1]Hoja3!J$3:K$674,2,0)</f>
        <v>80758620</v>
      </c>
      <c r="BB1030" s="8"/>
      <c r="BC1030" s="8">
        <f t="shared" si="134"/>
        <v>181906330</v>
      </c>
      <c r="BD1030" s="4">
        <v>60841130</v>
      </c>
      <c r="BE1030" s="4">
        <f t="shared" si="135"/>
        <v>121065200</v>
      </c>
      <c r="BF1030" s="30">
        <f t="shared" si="136"/>
        <v>181906330</v>
      </c>
      <c r="BG1030" s="18">
        <f t="shared" si="137"/>
        <v>0</v>
      </c>
      <c r="BH1030" s="23"/>
      <c r="BI1030" s="23"/>
      <c r="BJ1030" s="23"/>
    </row>
    <row r="1031" spans="1:66" ht="15" customHeight="1" x14ac:dyDescent="0.2">
      <c r="A1031" s="1">
        <v>8000996426</v>
      </c>
      <c r="B1031" s="1">
        <v>800099642</v>
      </c>
      <c r="C1031" s="15">
        <v>211415814</v>
      </c>
      <c r="D1031" s="16" t="s">
        <v>324</v>
      </c>
      <c r="E1031" s="41" t="s">
        <v>1354</v>
      </c>
      <c r="F1031" s="28"/>
      <c r="G1031" s="17"/>
      <c r="H1031" s="3"/>
      <c r="I1031" s="2"/>
      <c r="J1031" s="29"/>
      <c r="K1031" s="3"/>
      <c r="L1031" s="17"/>
      <c r="M1031" s="34"/>
      <c r="N1031" s="3"/>
      <c r="O1031" s="17"/>
      <c r="P1031" s="3"/>
      <c r="Q1031" s="2"/>
      <c r="R1031" s="3"/>
      <c r="S1031" s="3"/>
      <c r="T1031" s="17"/>
      <c r="U1031" s="8">
        <f t="shared" si="132"/>
        <v>0</v>
      </c>
      <c r="V1031" s="8"/>
      <c r="W1031" s="8"/>
      <c r="X1031" s="8"/>
      <c r="Y1031" s="8"/>
      <c r="Z1031" s="8"/>
      <c r="AA1031" s="8"/>
      <c r="AB1031" s="8"/>
      <c r="AC1031" s="8">
        <f t="shared" si="133"/>
        <v>0</v>
      </c>
      <c r="AD1031" s="8"/>
      <c r="AE1031" s="8"/>
      <c r="AF1031" s="8"/>
      <c r="AG1031" s="8"/>
      <c r="AH1031" s="8"/>
      <c r="AI1031" s="8"/>
      <c r="AJ1031" s="8"/>
      <c r="AK1031" s="8"/>
      <c r="AL1031" s="8"/>
      <c r="AM1031" s="8"/>
      <c r="AN1031" s="8"/>
      <c r="AO1031" s="8"/>
      <c r="AP1031" s="8"/>
      <c r="AQ1031" s="8"/>
      <c r="AR1031" s="8"/>
      <c r="AS1031" s="8"/>
      <c r="AT1031" s="8"/>
      <c r="AU1031" s="8"/>
      <c r="AV1031" s="8"/>
      <c r="AW1031" s="8"/>
      <c r="AX1031" s="8"/>
      <c r="AY1031" s="8">
        <v>78060280</v>
      </c>
      <c r="AZ1031" s="8"/>
      <c r="BA1031" s="8">
        <f>VLOOKUP(B1031,[1]Hoja3!J$3:K$674,2,0)</f>
        <v>166919017</v>
      </c>
      <c r="BB1031" s="8"/>
      <c r="BC1031" s="8">
        <f t="shared" si="134"/>
        <v>244979297</v>
      </c>
      <c r="BD1031" s="4">
        <v>78060280</v>
      </c>
      <c r="BE1031" s="4">
        <f t="shared" si="135"/>
        <v>166919017</v>
      </c>
      <c r="BF1031" s="30">
        <f t="shared" si="136"/>
        <v>244979297</v>
      </c>
      <c r="BG1031" s="18">
        <f t="shared" si="137"/>
        <v>0</v>
      </c>
      <c r="BH1031" s="23"/>
      <c r="BI1031" s="14"/>
      <c r="BJ1031" s="14"/>
      <c r="BK1031" s="14"/>
      <c r="BL1031" s="14"/>
      <c r="BM1031" s="14"/>
      <c r="BN1031" s="14"/>
    </row>
    <row r="1032" spans="1:66" ht="15" customHeight="1" x14ac:dyDescent="0.2">
      <c r="A1032" s="1">
        <v>8000934391</v>
      </c>
      <c r="B1032" s="1">
        <v>800093439</v>
      </c>
      <c r="C1032" s="15">
        <v>211525815</v>
      </c>
      <c r="D1032" s="16" t="s">
        <v>551</v>
      </c>
      <c r="E1032" s="41" t="s">
        <v>1574</v>
      </c>
      <c r="F1032" s="28"/>
      <c r="G1032" s="2"/>
      <c r="H1032" s="3"/>
      <c r="I1032" s="2"/>
      <c r="J1032" s="29"/>
      <c r="K1032" s="3"/>
      <c r="L1032" s="2"/>
      <c r="M1032" s="8"/>
      <c r="N1032" s="3"/>
      <c r="O1032" s="2"/>
      <c r="P1032" s="3"/>
      <c r="Q1032" s="2"/>
      <c r="R1032" s="3"/>
      <c r="S1032" s="3"/>
      <c r="T1032" s="2"/>
      <c r="U1032" s="8">
        <f t="shared" si="132"/>
        <v>0</v>
      </c>
      <c r="V1032" s="8"/>
      <c r="W1032" s="8"/>
      <c r="X1032" s="8"/>
      <c r="Y1032" s="8"/>
      <c r="Z1032" s="8"/>
      <c r="AA1032" s="8"/>
      <c r="AB1032" s="8"/>
      <c r="AC1032" s="8">
        <f t="shared" si="133"/>
        <v>0</v>
      </c>
      <c r="AD1032" s="8"/>
      <c r="AE1032" s="8"/>
      <c r="AF1032" s="8"/>
      <c r="AG1032" s="8"/>
      <c r="AH1032" s="8"/>
      <c r="AI1032" s="8"/>
      <c r="AJ1032" s="8"/>
      <c r="AK1032" s="8"/>
      <c r="AL1032" s="8"/>
      <c r="AM1032" s="8">
        <v>174624199</v>
      </c>
      <c r="AN1032" s="8">
        <f>SUBTOTAL(9,AC1032:AM1032)</f>
        <v>174624199</v>
      </c>
      <c r="AO1032" s="8"/>
      <c r="AP1032" s="8"/>
      <c r="AQ1032" s="8"/>
      <c r="AR1032" s="8"/>
      <c r="AS1032" s="8"/>
      <c r="AT1032" s="8"/>
      <c r="AU1032" s="8"/>
      <c r="AV1032" s="8"/>
      <c r="AW1032" s="8"/>
      <c r="AX1032" s="8"/>
      <c r="AY1032" s="8">
        <v>95453485</v>
      </c>
      <c r="AZ1032" s="8"/>
      <c r="BA1032" s="8"/>
      <c r="BB1032" s="8"/>
      <c r="BC1032" s="8">
        <f t="shared" si="134"/>
        <v>270077684</v>
      </c>
      <c r="BD1032" s="4">
        <v>95453485</v>
      </c>
      <c r="BE1032" s="4">
        <f t="shared" si="135"/>
        <v>174624199</v>
      </c>
      <c r="BF1032" s="30">
        <f t="shared" si="136"/>
        <v>270077684</v>
      </c>
      <c r="BG1032" s="18">
        <f t="shared" si="137"/>
        <v>0</v>
      </c>
      <c r="BH1032" s="23"/>
      <c r="BI1032" s="23"/>
      <c r="BJ1032" s="23"/>
    </row>
    <row r="1033" spans="1:66" ht="15" customHeight="1" x14ac:dyDescent="0.2">
      <c r="A1033" s="1">
        <v>8999994288</v>
      </c>
      <c r="B1033" s="1">
        <v>899999428</v>
      </c>
      <c r="C1033" s="15">
        <v>211725817</v>
      </c>
      <c r="D1033" s="16" t="s">
        <v>552</v>
      </c>
      <c r="E1033" s="41" t="s">
        <v>1575</v>
      </c>
      <c r="F1033" s="28"/>
      <c r="G1033" s="2"/>
      <c r="H1033" s="3"/>
      <c r="I1033" s="2"/>
      <c r="J1033" s="29"/>
      <c r="K1033" s="3"/>
      <c r="L1033" s="2"/>
      <c r="M1033" s="8"/>
      <c r="N1033" s="3"/>
      <c r="O1033" s="2"/>
      <c r="P1033" s="3"/>
      <c r="Q1033" s="2"/>
      <c r="R1033" s="3"/>
      <c r="S1033" s="3"/>
      <c r="T1033" s="2"/>
      <c r="U1033" s="8">
        <f t="shared" si="132"/>
        <v>0</v>
      </c>
      <c r="V1033" s="8"/>
      <c r="W1033" s="8"/>
      <c r="X1033" s="8"/>
      <c r="Y1033" s="8"/>
      <c r="Z1033" s="8"/>
      <c r="AA1033" s="8"/>
      <c r="AB1033" s="8"/>
      <c r="AC1033" s="8">
        <f t="shared" si="133"/>
        <v>0</v>
      </c>
      <c r="AD1033" s="8"/>
      <c r="AE1033" s="8"/>
      <c r="AF1033" s="8"/>
      <c r="AG1033" s="8"/>
      <c r="AH1033" s="8"/>
      <c r="AI1033" s="8"/>
      <c r="AJ1033" s="8"/>
      <c r="AK1033" s="8"/>
      <c r="AL1033" s="8"/>
      <c r="AM1033" s="8">
        <v>598352250</v>
      </c>
      <c r="AN1033" s="8">
        <f>SUBTOTAL(9,AC1033:AM1033)</f>
        <v>598352250</v>
      </c>
      <c r="AO1033" s="8"/>
      <c r="AP1033" s="8"/>
      <c r="AQ1033" s="8"/>
      <c r="AR1033" s="8"/>
      <c r="AS1033" s="8"/>
      <c r="AT1033" s="8"/>
      <c r="AU1033" s="8"/>
      <c r="AV1033" s="8"/>
      <c r="AW1033" s="8"/>
      <c r="AX1033" s="8"/>
      <c r="AY1033" s="8">
        <v>182348785</v>
      </c>
      <c r="AZ1033" s="8"/>
      <c r="BA1033" s="8"/>
      <c r="BB1033" s="8"/>
      <c r="BC1033" s="8">
        <f t="shared" si="134"/>
        <v>780701035</v>
      </c>
      <c r="BD1033" s="4">
        <v>182348785</v>
      </c>
      <c r="BE1033" s="4">
        <f t="shared" si="135"/>
        <v>598352250</v>
      </c>
      <c r="BF1033" s="30">
        <f t="shared" si="136"/>
        <v>780701035</v>
      </c>
      <c r="BG1033" s="18">
        <f t="shared" si="137"/>
        <v>0</v>
      </c>
      <c r="BH1033" s="23"/>
      <c r="BI1033" s="23"/>
      <c r="BJ1033" s="23"/>
    </row>
    <row r="1034" spans="1:66" ht="15" customHeight="1" x14ac:dyDescent="0.2">
      <c r="A1034" s="1">
        <v>8000622559</v>
      </c>
      <c r="B1034" s="1">
        <v>800062255</v>
      </c>
      <c r="C1034" s="15">
        <v>211615816</v>
      </c>
      <c r="D1034" s="16" t="s">
        <v>325</v>
      </c>
      <c r="E1034" s="41" t="s">
        <v>1356</v>
      </c>
      <c r="F1034" s="28"/>
      <c r="G1034" s="17"/>
      <c r="H1034" s="3"/>
      <c r="I1034" s="2"/>
      <c r="J1034" s="29"/>
      <c r="K1034" s="3"/>
      <c r="L1034" s="17"/>
      <c r="M1034" s="34"/>
      <c r="N1034" s="3"/>
      <c r="O1034" s="17"/>
      <c r="P1034" s="3"/>
      <c r="Q1034" s="2"/>
      <c r="R1034" s="3"/>
      <c r="S1034" s="3"/>
      <c r="T1034" s="17"/>
      <c r="U1034" s="8">
        <f t="shared" si="132"/>
        <v>0</v>
      </c>
      <c r="V1034" s="8"/>
      <c r="W1034" s="8"/>
      <c r="X1034" s="8"/>
      <c r="Y1034" s="8"/>
      <c r="Z1034" s="8"/>
      <c r="AA1034" s="8"/>
      <c r="AB1034" s="8"/>
      <c r="AC1034" s="8">
        <f t="shared" si="133"/>
        <v>0</v>
      </c>
      <c r="AD1034" s="8"/>
      <c r="AE1034" s="8"/>
      <c r="AF1034" s="8"/>
      <c r="AG1034" s="8"/>
      <c r="AH1034" s="8"/>
      <c r="AI1034" s="8"/>
      <c r="AJ1034" s="8"/>
      <c r="AK1034" s="8"/>
      <c r="AL1034" s="8"/>
      <c r="AM1034" s="8"/>
      <c r="AN1034" s="8"/>
      <c r="AO1034" s="8"/>
      <c r="AP1034" s="8"/>
      <c r="AQ1034" s="8"/>
      <c r="AR1034" s="8"/>
      <c r="AS1034" s="8"/>
      <c r="AT1034" s="8"/>
      <c r="AU1034" s="8"/>
      <c r="AV1034" s="8"/>
      <c r="AW1034" s="8"/>
      <c r="AX1034" s="8"/>
      <c r="AY1034" s="8">
        <v>38725305</v>
      </c>
      <c r="AZ1034" s="8"/>
      <c r="BA1034" s="8">
        <f>VLOOKUP(B1034,[1]Hoja3!J$3:K$674,2,0)</f>
        <v>76433862</v>
      </c>
      <c r="BB1034" s="8"/>
      <c r="BC1034" s="8">
        <f t="shared" si="134"/>
        <v>115159167</v>
      </c>
      <c r="BD1034" s="4">
        <v>38725305</v>
      </c>
      <c r="BE1034" s="4">
        <f t="shared" si="135"/>
        <v>76433862</v>
      </c>
      <c r="BF1034" s="30">
        <f t="shared" si="136"/>
        <v>115159167</v>
      </c>
      <c r="BG1034" s="18">
        <f t="shared" si="137"/>
        <v>0</v>
      </c>
      <c r="BH1034" s="23"/>
      <c r="BI1034" s="14"/>
      <c r="BJ1034" s="14"/>
      <c r="BK1034" s="14"/>
      <c r="BL1034" s="14"/>
      <c r="BM1034" s="14"/>
      <c r="BN1034" s="14"/>
    </row>
    <row r="1035" spans="1:66" ht="15" customHeight="1" x14ac:dyDescent="0.2">
      <c r="A1035" s="1">
        <v>8909813675</v>
      </c>
      <c r="B1035" s="1">
        <v>890981367</v>
      </c>
      <c r="C1035" s="15">
        <v>211905819</v>
      </c>
      <c r="D1035" s="16" t="s">
        <v>148</v>
      </c>
      <c r="E1035" s="41" t="s">
        <v>1177</v>
      </c>
      <c r="F1035" s="28"/>
      <c r="G1035" s="2"/>
      <c r="H1035" s="3"/>
      <c r="I1035" s="2"/>
      <c r="J1035" s="29"/>
      <c r="K1035" s="3"/>
      <c r="L1035" s="2"/>
      <c r="M1035" s="8"/>
      <c r="N1035" s="3"/>
      <c r="O1035" s="2"/>
      <c r="P1035" s="3"/>
      <c r="Q1035" s="2"/>
      <c r="R1035" s="3"/>
      <c r="S1035" s="3"/>
      <c r="T1035" s="2"/>
      <c r="U1035" s="8">
        <f t="shared" si="132"/>
        <v>0</v>
      </c>
      <c r="V1035" s="8"/>
      <c r="W1035" s="8"/>
      <c r="X1035" s="8"/>
      <c r="Y1035" s="8"/>
      <c r="Z1035" s="8"/>
      <c r="AA1035" s="8"/>
      <c r="AB1035" s="8"/>
      <c r="AC1035" s="8">
        <f t="shared" si="133"/>
        <v>0</v>
      </c>
      <c r="AD1035" s="8"/>
      <c r="AE1035" s="8"/>
      <c r="AF1035" s="8"/>
      <c r="AG1035" s="8"/>
      <c r="AH1035" s="8"/>
      <c r="AI1035" s="8"/>
      <c r="AJ1035" s="8"/>
      <c r="AK1035" s="8"/>
      <c r="AL1035" s="8"/>
      <c r="AM1035" s="8"/>
      <c r="AN1035" s="8"/>
      <c r="AO1035" s="8"/>
      <c r="AP1035" s="8"/>
      <c r="AQ1035" s="8"/>
      <c r="AR1035" s="8"/>
      <c r="AS1035" s="8"/>
      <c r="AT1035" s="8"/>
      <c r="AU1035" s="8"/>
      <c r="AV1035" s="8"/>
      <c r="AW1035" s="8"/>
      <c r="AX1035" s="8"/>
      <c r="AY1035" s="8">
        <v>47427420</v>
      </c>
      <c r="AZ1035" s="8"/>
      <c r="BA1035" s="8">
        <f>VLOOKUP(B1035,[1]Hoja3!J$3:K$674,2,0)</f>
        <v>95982757</v>
      </c>
      <c r="BB1035" s="8"/>
      <c r="BC1035" s="8">
        <f t="shared" si="134"/>
        <v>143410177</v>
      </c>
      <c r="BD1035" s="4">
        <v>47427420</v>
      </c>
      <c r="BE1035" s="4">
        <f t="shared" si="135"/>
        <v>95982757</v>
      </c>
      <c r="BF1035" s="30">
        <f t="shared" si="136"/>
        <v>143410177</v>
      </c>
      <c r="BG1035" s="18">
        <f t="shared" si="137"/>
        <v>0</v>
      </c>
      <c r="BH1035" s="23"/>
      <c r="BI1035" s="23"/>
      <c r="BJ1035" s="23"/>
    </row>
    <row r="1036" spans="1:66" ht="15" customHeight="1" x14ac:dyDescent="0.2">
      <c r="A1036" s="1">
        <v>8905013620</v>
      </c>
      <c r="B1036" s="1">
        <v>890501362</v>
      </c>
      <c r="C1036" s="15">
        <v>212054820</v>
      </c>
      <c r="D1036" s="16" t="s">
        <v>787</v>
      </c>
      <c r="E1036" s="41" t="s">
        <v>1804</v>
      </c>
      <c r="F1036" s="28"/>
      <c r="G1036" s="17"/>
      <c r="H1036" s="3"/>
      <c r="I1036" s="2"/>
      <c r="J1036" s="29"/>
      <c r="K1036" s="3"/>
      <c r="L1036" s="17"/>
      <c r="M1036" s="34"/>
      <c r="N1036" s="3"/>
      <c r="O1036" s="17"/>
      <c r="P1036" s="3"/>
      <c r="Q1036" s="2"/>
      <c r="R1036" s="3"/>
      <c r="S1036" s="3"/>
      <c r="T1036" s="17"/>
      <c r="U1036" s="8">
        <f t="shared" si="132"/>
        <v>0</v>
      </c>
      <c r="V1036" s="8"/>
      <c r="W1036" s="8"/>
      <c r="X1036" s="8"/>
      <c r="Y1036" s="8"/>
      <c r="Z1036" s="8"/>
      <c r="AA1036" s="8"/>
      <c r="AB1036" s="8"/>
      <c r="AC1036" s="8">
        <f t="shared" si="133"/>
        <v>0</v>
      </c>
      <c r="AD1036" s="8"/>
      <c r="AE1036" s="8"/>
      <c r="AF1036" s="8"/>
      <c r="AG1036" s="8"/>
      <c r="AH1036" s="8"/>
      <c r="AI1036" s="8"/>
      <c r="AJ1036" s="8"/>
      <c r="AK1036" s="8"/>
      <c r="AL1036" s="8"/>
      <c r="AM1036" s="8"/>
      <c r="AN1036" s="8"/>
      <c r="AO1036" s="8"/>
      <c r="AP1036" s="8"/>
      <c r="AQ1036" s="8"/>
      <c r="AR1036" s="8"/>
      <c r="AS1036" s="8"/>
      <c r="AT1036" s="8"/>
      <c r="AU1036" s="8"/>
      <c r="AV1036" s="8"/>
      <c r="AW1036" s="8"/>
      <c r="AX1036" s="8"/>
      <c r="AY1036" s="8">
        <v>131794520</v>
      </c>
      <c r="AZ1036" s="8"/>
      <c r="BA1036" s="8">
        <f>VLOOKUP(B1036,[1]Hoja3!J$3:K$674,2,0)</f>
        <v>273082180</v>
      </c>
      <c r="BB1036" s="8"/>
      <c r="BC1036" s="8">
        <f t="shared" si="134"/>
        <v>404876700</v>
      </c>
      <c r="BD1036" s="4">
        <v>131794520</v>
      </c>
      <c r="BE1036" s="4">
        <f t="shared" si="135"/>
        <v>273082180</v>
      </c>
      <c r="BF1036" s="30">
        <f t="shared" si="136"/>
        <v>404876700</v>
      </c>
      <c r="BG1036" s="18">
        <f t="shared" si="137"/>
        <v>0</v>
      </c>
      <c r="BH1036" s="23"/>
      <c r="BI1036" s="14"/>
      <c r="BJ1036" s="14"/>
      <c r="BK1036" s="14"/>
      <c r="BL1036" s="14"/>
      <c r="BM1036" s="14"/>
      <c r="BN1036" s="14"/>
    </row>
    <row r="1037" spans="1:66" ht="15" customHeight="1" x14ac:dyDescent="0.2">
      <c r="A1037" s="1">
        <v>8922008397</v>
      </c>
      <c r="B1037" s="1">
        <v>892200839</v>
      </c>
      <c r="C1037" s="15">
        <v>212070820</v>
      </c>
      <c r="D1037" s="16" t="s">
        <v>910</v>
      </c>
      <c r="E1037" s="41" t="s">
        <v>1927</v>
      </c>
      <c r="F1037" s="28"/>
      <c r="G1037" s="2"/>
      <c r="H1037" s="3"/>
      <c r="I1037" s="2"/>
      <c r="J1037" s="29"/>
      <c r="K1037" s="3"/>
      <c r="L1037" s="2"/>
      <c r="M1037" s="8"/>
      <c r="N1037" s="3"/>
      <c r="O1037" s="2"/>
      <c r="P1037" s="3"/>
      <c r="Q1037" s="2"/>
      <c r="R1037" s="3"/>
      <c r="S1037" s="3"/>
      <c r="T1037" s="2"/>
      <c r="U1037" s="8">
        <f t="shared" si="132"/>
        <v>0</v>
      </c>
      <c r="V1037" s="8"/>
      <c r="W1037" s="8"/>
      <c r="X1037" s="8"/>
      <c r="Y1037" s="8"/>
      <c r="Z1037" s="8"/>
      <c r="AA1037" s="8"/>
      <c r="AB1037" s="8"/>
      <c r="AC1037" s="8">
        <f t="shared" si="133"/>
        <v>0</v>
      </c>
      <c r="AD1037" s="8"/>
      <c r="AE1037" s="8"/>
      <c r="AF1037" s="8"/>
      <c r="AG1037" s="8"/>
      <c r="AH1037" s="8"/>
      <c r="AI1037" s="8"/>
      <c r="AJ1037" s="8"/>
      <c r="AK1037" s="8"/>
      <c r="AL1037" s="8"/>
      <c r="AM1037" s="8">
        <v>24755854</v>
      </c>
      <c r="AN1037" s="8">
        <f>SUBTOTAL(9,AC1037:AM1037)</f>
        <v>24755854</v>
      </c>
      <c r="AO1037" s="8"/>
      <c r="AP1037" s="8"/>
      <c r="AQ1037" s="8"/>
      <c r="AR1037" s="8"/>
      <c r="AS1037" s="8"/>
      <c r="AT1037" s="8"/>
      <c r="AU1037" s="8"/>
      <c r="AV1037" s="8"/>
      <c r="AW1037" s="8"/>
      <c r="AX1037" s="8"/>
      <c r="AY1037" s="8">
        <v>232946955</v>
      </c>
      <c r="AZ1037" s="8"/>
      <c r="BA1037" s="8">
        <f>VLOOKUP(B1037,[1]Hoja3!J$3:K$674,2,0)</f>
        <v>460456134</v>
      </c>
      <c r="BB1037" s="8"/>
      <c r="BC1037" s="8">
        <f t="shared" si="134"/>
        <v>718158943</v>
      </c>
      <c r="BD1037" s="4">
        <v>232946955</v>
      </c>
      <c r="BE1037" s="4">
        <f t="shared" si="135"/>
        <v>485211988</v>
      </c>
      <c r="BF1037" s="30">
        <f t="shared" si="136"/>
        <v>718158943</v>
      </c>
      <c r="BG1037" s="18">
        <f t="shared" si="137"/>
        <v>0</v>
      </c>
      <c r="BH1037" s="23"/>
      <c r="BI1037" s="23"/>
      <c r="BJ1037" s="23"/>
    </row>
    <row r="1038" spans="1:66" ht="15" customHeight="1" x14ac:dyDescent="0.2">
      <c r="A1038" s="1">
        <v>8001007514</v>
      </c>
      <c r="B1038" s="1">
        <v>800100751</v>
      </c>
      <c r="C1038" s="15">
        <v>212370823</v>
      </c>
      <c r="D1038" s="16" t="s">
        <v>911</v>
      </c>
      <c r="E1038" s="41" t="s">
        <v>1928</v>
      </c>
      <c r="F1038" s="28"/>
      <c r="G1038" s="2"/>
      <c r="H1038" s="3"/>
      <c r="I1038" s="2"/>
      <c r="J1038" s="29"/>
      <c r="K1038" s="3"/>
      <c r="L1038" s="2"/>
      <c r="M1038" s="8"/>
      <c r="N1038" s="3"/>
      <c r="O1038" s="2"/>
      <c r="P1038" s="3"/>
      <c r="Q1038" s="2"/>
      <c r="R1038" s="3"/>
      <c r="S1038" s="3"/>
      <c r="T1038" s="2"/>
      <c r="U1038" s="8">
        <f t="shared" si="132"/>
        <v>0</v>
      </c>
      <c r="V1038" s="8"/>
      <c r="W1038" s="8"/>
      <c r="X1038" s="8"/>
      <c r="Y1038" s="8"/>
      <c r="Z1038" s="8"/>
      <c r="AA1038" s="8"/>
      <c r="AB1038" s="8"/>
      <c r="AC1038" s="8">
        <f t="shared" si="133"/>
        <v>0</v>
      </c>
      <c r="AD1038" s="8"/>
      <c r="AE1038" s="8"/>
      <c r="AF1038" s="8"/>
      <c r="AG1038" s="8"/>
      <c r="AH1038" s="8"/>
      <c r="AI1038" s="8"/>
      <c r="AJ1038" s="8"/>
      <c r="AK1038" s="8"/>
      <c r="AL1038" s="8"/>
      <c r="AM1038" s="8">
        <v>44568000</v>
      </c>
      <c r="AN1038" s="8">
        <f>SUBTOTAL(9,AC1038:AM1038)</f>
        <v>44568000</v>
      </c>
      <c r="AO1038" s="8"/>
      <c r="AP1038" s="8"/>
      <c r="AQ1038" s="8"/>
      <c r="AR1038" s="8"/>
      <c r="AS1038" s="8"/>
      <c r="AT1038" s="8"/>
      <c r="AU1038" s="8"/>
      <c r="AV1038" s="8"/>
      <c r="AW1038" s="8"/>
      <c r="AX1038" s="8"/>
      <c r="AY1038" s="8"/>
      <c r="AZ1038" s="8"/>
      <c r="BA1038" s="8">
        <f>VLOOKUP(B1038,[1]Hoja3!J$3:K$674,2,0)</f>
        <v>355870404</v>
      </c>
      <c r="BB1038" s="8"/>
      <c r="BC1038" s="8">
        <f t="shared" si="134"/>
        <v>400438404</v>
      </c>
      <c r="BD1038" s="4"/>
      <c r="BE1038" s="4">
        <f t="shared" si="135"/>
        <v>400438404</v>
      </c>
      <c r="BF1038" s="30">
        <f t="shared" si="136"/>
        <v>400438404</v>
      </c>
      <c r="BG1038" s="18">
        <f t="shared" si="137"/>
        <v>0</v>
      </c>
      <c r="BH1038" s="23"/>
      <c r="BI1038" s="23"/>
      <c r="BJ1038" s="23"/>
    </row>
    <row r="1039" spans="1:66" ht="15" customHeight="1" x14ac:dyDescent="0.2">
      <c r="A1039" s="1">
        <v>8902055818</v>
      </c>
      <c r="B1039" s="1">
        <v>890205581</v>
      </c>
      <c r="C1039" s="15">
        <v>212068820</v>
      </c>
      <c r="D1039" s="16" t="s">
        <v>885</v>
      </c>
      <c r="E1039" s="41" t="s">
        <v>1899</v>
      </c>
      <c r="F1039" s="28"/>
      <c r="G1039" s="2"/>
      <c r="H1039" s="3"/>
      <c r="I1039" s="2"/>
      <c r="J1039" s="29"/>
      <c r="K1039" s="3"/>
      <c r="L1039" s="2"/>
      <c r="M1039" s="8"/>
      <c r="N1039" s="3"/>
      <c r="O1039" s="2"/>
      <c r="P1039" s="3"/>
      <c r="Q1039" s="2"/>
      <c r="R1039" s="3"/>
      <c r="S1039" s="3"/>
      <c r="T1039" s="2"/>
      <c r="U1039" s="8">
        <f t="shared" si="132"/>
        <v>0</v>
      </c>
      <c r="V1039" s="8"/>
      <c r="W1039" s="8"/>
      <c r="X1039" s="8"/>
      <c r="Y1039" s="8"/>
      <c r="Z1039" s="8"/>
      <c r="AA1039" s="8"/>
      <c r="AB1039" s="8"/>
      <c r="AC1039" s="8">
        <f t="shared" si="133"/>
        <v>0</v>
      </c>
      <c r="AD1039" s="8"/>
      <c r="AE1039" s="8"/>
      <c r="AF1039" s="8"/>
      <c r="AG1039" s="8"/>
      <c r="AH1039" s="8"/>
      <c r="AI1039" s="8"/>
      <c r="AJ1039" s="8"/>
      <c r="AK1039" s="8"/>
      <c r="AL1039" s="8"/>
      <c r="AM1039" s="8">
        <v>78581023</v>
      </c>
      <c r="AN1039" s="8">
        <f>SUBTOTAL(9,AC1039:AM1039)</f>
        <v>78581023</v>
      </c>
      <c r="AO1039" s="8"/>
      <c r="AP1039" s="8"/>
      <c r="AQ1039" s="8"/>
      <c r="AR1039" s="8"/>
      <c r="AS1039" s="8"/>
      <c r="AT1039" s="8"/>
      <c r="AU1039" s="8"/>
      <c r="AV1039" s="8"/>
      <c r="AW1039" s="8"/>
      <c r="AX1039" s="8"/>
      <c r="AY1039" s="8">
        <v>36955715</v>
      </c>
      <c r="AZ1039" s="8"/>
      <c r="BA1039" s="8">
        <f>VLOOKUP(B1039,[1]Hoja3!J$3:K$674,2,0)</f>
        <v>27277882</v>
      </c>
      <c r="BB1039" s="8"/>
      <c r="BC1039" s="8">
        <f t="shared" si="134"/>
        <v>142814620</v>
      </c>
      <c r="BD1039" s="4">
        <v>36955715</v>
      </c>
      <c r="BE1039" s="4">
        <f t="shared" si="135"/>
        <v>105858905</v>
      </c>
      <c r="BF1039" s="30">
        <f t="shared" si="136"/>
        <v>142814620</v>
      </c>
      <c r="BG1039" s="18">
        <f t="shared" si="137"/>
        <v>0</v>
      </c>
      <c r="BH1039" s="23"/>
      <c r="BI1039" s="23"/>
      <c r="BJ1039" s="23"/>
    </row>
    <row r="1040" spans="1:66" ht="15" customHeight="1" x14ac:dyDescent="0.2">
      <c r="A1040" s="1">
        <v>8918566251</v>
      </c>
      <c r="B1040" s="1">
        <v>891856625</v>
      </c>
      <c r="C1040" s="15">
        <v>212015820</v>
      </c>
      <c r="D1040" s="16" t="s">
        <v>326</v>
      </c>
      <c r="E1040" s="41" t="s">
        <v>1357</v>
      </c>
      <c r="F1040" s="28"/>
      <c r="G1040" s="17"/>
      <c r="H1040" s="3"/>
      <c r="I1040" s="2"/>
      <c r="J1040" s="29"/>
      <c r="K1040" s="3"/>
      <c r="L1040" s="17"/>
      <c r="M1040" s="34"/>
      <c r="N1040" s="3"/>
      <c r="O1040" s="17"/>
      <c r="P1040" s="3"/>
      <c r="Q1040" s="2"/>
      <c r="R1040" s="3"/>
      <c r="S1040" s="3"/>
      <c r="T1040" s="17"/>
      <c r="U1040" s="8">
        <f t="shared" si="132"/>
        <v>0</v>
      </c>
      <c r="V1040" s="8"/>
      <c r="W1040" s="8"/>
      <c r="X1040" s="8"/>
      <c r="Y1040" s="8"/>
      <c r="Z1040" s="8"/>
      <c r="AA1040" s="8"/>
      <c r="AB1040" s="8"/>
      <c r="AC1040" s="8">
        <f t="shared" si="133"/>
        <v>0</v>
      </c>
      <c r="AD1040" s="8"/>
      <c r="AE1040" s="8"/>
      <c r="AF1040" s="8"/>
      <c r="AG1040" s="8"/>
      <c r="AH1040" s="8"/>
      <c r="AI1040" s="8"/>
      <c r="AJ1040" s="8"/>
      <c r="AK1040" s="8"/>
      <c r="AL1040" s="8"/>
      <c r="AM1040" s="8"/>
      <c r="AN1040" s="8"/>
      <c r="AO1040" s="8"/>
      <c r="AP1040" s="8"/>
      <c r="AQ1040" s="8"/>
      <c r="AR1040" s="8"/>
      <c r="AS1040" s="8"/>
      <c r="AT1040" s="8"/>
      <c r="AU1040" s="8"/>
      <c r="AV1040" s="8"/>
      <c r="AW1040" s="8"/>
      <c r="AX1040" s="8"/>
      <c r="AY1040" s="8">
        <v>27093615</v>
      </c>
      <c r="AZ1040" s="8"/>
      <c r="BA1040" s="8">
        <f>VLOOKUP(B1040,[1]Hoja3!J$3:K$674,2,0)</f>
        <v>56720917</v>
      </c>
      <c r="BB1040" s="8"/>
      <c r="BC1040" s="8">
        <f t="shared" si="134"/>
        <v>83814532</v>
      </c>
      <c r="BD1040" s="4">
        <v>27093615</v>
      </c>
      <c r="BE1040" s="4">
        <f t="shared" si="135"/>
        <v>56720917</v>
      </c>
      <c r="BF1040" s="30">
        <f t="shared" si="136"/>
        <v>83814532</v>
      </c>
      <c r="BG1040" s="18">
        <f t="shared" si="137"/>
        <v>0</v>
      </c>
      <c r="BH1040" s="23"/>
      <c r="BI1040" s="14"/>
      <c r="BJ1040" s="14"/>
      <c r="BK1040" s="14"/>
      <c r="BL1040" s="14"/>
      <c r="BM1040" s="14"/>
      <c r="BN1040" s="14"/>
    </row>
    <row r="1041" spans="1:66" ht="15" customHeight="1" x14ac:dyDescent="0.2">
      <c r="A1041" s="1">
        <v>8000727158</v>
      </c>
      <c r="B1041" s="1">
        <v>800072715</v>
      </c>
      <c r="C1041" s="15">
        <v>212325823</v>
      </c>
      <c r="D1041" s="16" t="s">
        <v>553</v>
      </c>
      <c r="E1041" s="41" t="s">
        <v>1576</v>
      </c>
      <c r="F1041" s="28"/>
      <c r="G1041" s="2"/>
      <c r="H1041" s="3"/>
      <c r="I1041" s="2"/>
      <c r="J1041" s="29"/>
      <c r="K1041" s="3"/>
      <c r="L1041" s="2"/>
      <c r="M1041" s="8"/>
      <c r="N1041" s="3"/>
      <c r="O1041" s="2"/>
      <c r="P1041" s="3"/>
      <c r="Q1041" s="2"/>
      <c r="R1041" s="3"/>
      <c r="S1041" s="3"/>
      <c r="T1041" s="2"/>
      <c r="U1041" s="8">
        <f t="shared" si="132"/>
        <v>0</v>
      </c>
      <c r="V1041" s="8"/>
      <c r="W1041" s="8"/>
      <c r="X1041" s="8"/>
      <c r="Y1041" s="8"/>
      <c r="Z1041" s="8"/>
      <c r="AA1041" s="8"/>
      <c r="AB1041" s="8"/>
      <c r="AC1041" s="8">
        <f t="shared" si="133"/>
        <v>0</v>
      </c>
      <c r="AD1041" s="8"/>
      <c r="AE1041" s="8"/>
      <c r="AF1041" s="8"/>
      <c r="AG1041" s="8"/>
      <c r="AH1041" s="8"/>
      <c r="AI1041" s="8"/>
      <c r="AJ1041" s="8"/>
      <c r="AK1041" s="8"/>
      <c r="AL1041" s="8"/>
      <c r="AM1041" s="8">
        <v>65911408</v>
      </c>
      <c r="AN1041" s="8">
        <f>SUBTOTAL(9,AC1041:AM1041)</f>
        <v>65911408</v>
      </c>
      <c r="AO1041" s="8"/>
      <c r="AP1041" s="8"/>
      <c r="AQ1041" s="8"/>
      <c r="AR1041" s="8"/>
      <c r="AS1041" s="8"/>
      <c r="AT1041" s="8"/>
      <c r="AU1041" s="8"/>
      <c r="AV1041" s="8"/>
      <c r="AW1041" s="8"/>
      <c r="AX1041" s="8"/>
      <c r="AY1041" s="8"/>
      <c r="AZ1041" s="8"/>
      <c r="BA1041" s="8"/>
      <c r="BB1041" s="8"/>
      <c r="BC1041" s="8">
        <f t="shared" si="134"/>
        <v>65911408</v>
      </c>
      <c r="BD1041" s="4"/>
      <c r="BE1041" s="4">
        <f t="shared" si="135"/>
        <v>65911408</v>
      </c>
      <c r="BF1041" s="30">
        <f t="shared" si="136"/>
        <v>65911408</v>
      </c>
      <c r="BG1041" s="18">
        <f t="shared" si="137"/>
        <v>0</v>
      </c>
      <c r="BH1041" s="23"/>
      <c r="BI1041" s="23"/>
      <c r="BJ1041" s="23"/>
    </row>
    <row r="1042" spans="1:66" ht="15" customHeight="1" x14ac:dyDescent="0.2">
      <c r="A1042" s="1">
        <v>8915008874</v>
      </c>
      <c r="B1042" s="1">
        <v>891500887</v>
      </c>
      <c r="C1042" s="15">
        <v>212119821</v>
      </c>
      <c r="D1042" s="16" t="s">
        <v>410</v>
      </c>
      <c r="E1042" s="41" t="s">
        <v>1438</v>
      </c>
      <c r="F1042" s="28"/>
      <c r="G1042" s="17"/>
      <c r="H1042" s="3"/>
      <c r="I1042" s="2"/>
      <c r="J1042" s="29"/>
      <c r="K1042" s="3"/>
      <c r="L1042" s="17"/>
      <c r="M1042" s="34"/>
      <c r="N1042" s="3"/>
      <c r="O1042" s="17"/>
      <c r="P1042" s="3"/>
      <c r="Q1042" s="2"/>
      <c r="R1042" s="3"/>
      <c r="S1042" s="3"/>
      <c r="T1042" s="17"/>
      <c r="U1042" s="8">
        <f t="shared" si="132"/>
        <v>0</v>
      </c>
      <c r="V1042" s="8"/>
      <c r="W1042" s="8"/>
      <c r="X1042" s="8"/>
      <c r="Y1042" s="8"/>
      <c r="Z1042" s="8"/>
      <c r="AA1042" s="8"/>
      <c r="AB1042" s="8"/>
      <c r="AC1042" s="8">
        <f t="shared" si="133"/>
        <v>0</v>
      </c>
      <c r="AD1042" s="8"/>
      <c r="AE1042" s="8"/>
      <c r="AF1042" s="8"/>
      <c r="AG1042" s="8"/>
      <c r="AH1042" s="8"/>
      <c r="AI1042" s="8"/>
      <c r="AJ1042" s="8"/>
      <c r="AK1042" s="8"/>
      <c r="AL1042" s="8"/>
      <c r="AM1042" s="8"/>
      <c r="AN1042" s="8"/>
      <c r="AO1042" s="8"/>
      <c r="AP1042" s="8"/>
      <c r="AQ1042" s="8"/>
      <c r="AR1042" s="8"/>
      <c r="AS1042" s="8"/>
      <c r="AT1042" s="8"/>
      <c r="AU1042" s="8"/>
      <c r="AV1042" s="8"/>
      <c r="AW1042" s="8"/>
      <c r="AX1042" s="8"/>
      <c r="AY1042" s="8">
        <v>330107665</v>
      </c>
      <c r="AZ1042" s="8"/>
      <c r="BA1042" s="8"/>
      <c r="BB1042" s="8"/>
      <c r="BC1042" s="8">
        <f t="shared" si="134"/>
        <v>330107665</v>
      </c>
      <c r="BD1042" s="4">
        <v>330107665</v>
      </c>
      <c r="BE1042" s="4">
        <f t="shared" si="135"/>
        <v>0</v>
      </c>
      <c r="BF1042" s="30">
        <f t="shared" si="136"/>
        <v>330107665</v>
      </c>
      <c r="BG1042" s="18">
        <f t="shared" si="137"/>
        <v>0</v>
      </c>
      <c r="BH1042" s="23"/>
      <c r="BI1042" s="14"/>
      <c r="BJ1042" s="14"/>
      <c r="BK1042" s="14"/>
      <c r="BL1042" s="14"/>
      <c r="BM1042" s="14"/>
      <c r="BN1042" s="14"/>
    </row>
    <row r="1043" spans="1:66" ht="15" customHeight="1" x14ac:dyDescent="0.2">
      <c r="A1043" s="1">
        <v>8919009854</v>
      </c>
      <c r="B1043" s="1">
        <v>891900985</v>
      </c>
      <c r="C1043" s="15">
        <v>212376823</v>
      </c>
      <c r="D1043" s="16" t="s">
        <v>940</v>
      </c>
      <c r="E1043" s="41" t="s">
        <v>2001</v>
      </c>
      <c r="F1043" s="28"/>
      <c r="G1043" s="2"/>
      <c r="H1043" s="3"/>
      <c r="I1043" s="2"/>
      <c r="J1043" s="29"/>
      <c r="K1043" s="3"/>
      <c r="L1043" s="2"/>
      <c r="M1043" s="8"/>
      <c r="N1043" s="3"/>
      <c r="O1043" s="2"/>
      <c r="P1043" s="3"/>
      <c r="Q1043" s="2"/>
      <c r="R1043" s="3"/>
      <c r="S1043" s="3"/>
      <c r="T1043" s="2"/>
      <c r="U1043" s="8">
        <f t="shared" si="132"/>
        <v>0</v>
      </c>
      <c r="V1043" s="8"/>
      <c r="W1043" s="8"/>
      <c r="X1043" s="8"/>
      <c r="Y1043" s="8"/>
      <c r="Z1043" s="8"/>
      <c r="AA1043" s="8"/>
      <c r="AB1043" s="8"/>
      <c r="AC1043" s="8">
        <f t="shared" si="133"/>
        <v>0</v>
      </c>
      <c r="AD1043" s="8"/>
      <c r="AE1043" s="8"/>
      <c r="AF1043" s="8"/>
      <c r="AG1043" s="8"/>
      <c r="AH1043" s="8"/>
      <c r="AI1043" s="8"/>
      <c r="AJ1043" s="8"/>
      <c r="AK1043" s="8"/>
      <c r="AL1043" s="8"/>
      <c r="AM1043" s="8"/>
      <c r="AN1043" s="8"/>
      <c r="AO1043" s="8"/>
      <c r="AP1043" s="8"/>
      <c r="AQ1043" s="8"/>
      <c r="AR1043" s="8"/>
      <c r="AS1043" s="8"/>
      <c r="AT1043" s="8"/>
      <c r="AU1043" s="8"/>
      <c r="AV1043" s="8"/>
      <c r="AW1043" s="8"/>
      <c r="AX1043" s="8"/>
      <c r="AY1043" s="8">
        <v>116189260</v>
      </c>
      <c r="AZ1043" s="8"/>
      <c r="BA1043" s="8">
        <f>VLOOKUP(B1043,[1]Hoja3!J$3:K$674,2,0)</f>
        <v>192125232</v>
      </c>
      <c r="BB1043" s="8"/>
      <c r="BC1043" s="8">
        <f t="shared" si="134"/>
        <v>308314492</v>
      </c>
      <c r="BD1043" s="4">
        <v>116189260</v>
      </c>
      <c r="BE1043" s="4">
        <f t="shared" si="135"/>
        <v>192125232</v>
      </c>
      <c r="BF1043" s="30">
        <f t="shared" si="136"/>
        <v>308314492</v>
      </c>
      <c r="BG1043" s="18">
        <f t="shared" si="137"/>
        <v>0</v>
      </c>
      <c r="BH1043" s="23"/>
      <c r="BI1043" s="23"/>
      <c r="BJ1043" s="23"/>
    </row>
    <row r="1044" spans="1:66" ht="15" customHeight="1" x14ac:dyDescent="0.2">
      <c r="A1044" s="1">
        <v>8000126350</v>
      </c>
      <c r="B1044" s="1">
        <v>800012635</v>
      </c>
      <c r="C1044" s="15">
        <v>212215822</v>
      </c>
      <c r="D1044" s="16" t="s">
        <v>327</v>
      </c>
      <c r="E1044" s="41" t="s">
        <v>1358</v>
      </c>
      <c r="F1044" s="28"/>
      <c r="G1044" s="17"/>
      <c r="H1044" s="3"/>
      <c r="I1044" s="2"/>
      <c r="J1044" s="29"/>
      <c r="K1044" s="3"/>
      <c r="L1044" s="17"/>
      <c r="M1044" s="34"/>
      <c r="N1044" s="3"/>
      <c r="O1044" s="17"/>
      <c r="P1044" s="3"/>
      <c r="Q1044" s="2"/>
      <c r="R1044" s="3"/>
      <c r="S1044" s="3"/>
      <c r="T1044" s="17"/>
      <c r="U1044" s="8">
        <f t="shared" si="132"/>
        <v>0</v>
      </c>
      <c r="V1044" s="8"/>
      <c r="W1044" s="8"/>
      <c r="X1044" s="8"/>
      <c r="Y1044" s="8"/>
      <c r="Z1044" s="8"/>
      <c r="AA1044" s="8"/>
      <c r="AB1044" s="8"/>
      <c r="AC1044" s="8">
        <f t="shared" si="133"/>
        <v>0</v>
      </c>
      <c r="AD1044" s="8"/>
      <c r="AE1044" s="8"/>
      <c r="AF1044" s="8"/>
      <c r="AG1044" s="8"/>
      <c r="AH1044" s="8"/>
      <c r="AI1044" s="8"/>
      <c r="AJ1044" s="8"/>
      <c r="AK1044" s="8"/>
      <c r="AL1044" s="8"/>
      <c r="AM1044" s="8"/>
      <c r="AN1044" s="8"/>
      <c r="AO1044" s="8"/>
      <c r="AP1044" s="8"/>
      <c r="AQ1044" s="8"/>
      <c r="AR1044" s="8"/>
      <c r="AS1044" s="8"/>
      <c r="AT1044" s="8"/>
      <c r="AU1044" s="8"/>
      <c r="AV1044" s="8"/>
      <c r="AW1044" s="8"/>
      <c r="AX1044" s="8"/>
      <c r="AY1044" s="8">
        <v>53572525</v>
      </c>
      <c r="AZ1044" s="8"/>
      <c r="BA1044" s="8">
        <f>VLOOKUP(B1044,[1]Hoja3!J$3:K$674,2,0)</f>
        <v>81689489</v>
      </c>
      <c r="BB1044" s="8"/>
      <c r="BC1044" s="8">
        <f t="shared" si="134"/>
        <v>135262014</v>
      </c>
      <c r="BD1044" s="4">
        <v>53572525</v>
      </c>
      <c r="BE1044" s="4">
        <f t="shared" si="135"/>
        <v>81689489</v>
      </c>
      <c r="BF1044" s="30">
        <f t="shared" si="136"/>
        <v>135262014</v>
      </c>
      <c r="BG1044" s="18">
        <f t="shared" si="137"/>
        <v>0</v>
      </c>
      <c r="BH1044" s="23"/>
      <c r="BI1044" s="14"/>
      <c r="BJ1044" s="14"/>
      <c r="BK1044" s="14"/>
      <c r="BL1044" s="14"/>
      <c r="BM1044" s="14"/>
      <c r="BN1044" s="14"/>
    </row>
    <row r="1045" spans="1:66" ht="15" customHeight="1" x14ac:dyDescent="0.2">
      <c r="A1045" s="1">
        <v>8000318745</v>
      </c>
      <c r="B1045" s="1">
        <v>800031874</v>
      </c>
      <c r="C1045" s="15">
        <v>212419824</v>
      </c>
      <c r="D1045" s="16" t="s">
        <v>411</v>
      </c>
      <c r="E1045" s="41" t="s">
        <v>1439</v>
      </c>
      <c r="F1045" s="28"/>
      <c r="G1045" s="2"/>
      <c r="H1045" s="3"/>
      <c r="I1045" s="2"/>
      <c r="J1045" s="29"/>
      <c r="K1045" s="3"/>
      <c r="L1045" s="2"/>
      <c r="M1045" s="8"/>
      <c r="N1045" s="3"/>
      <c r="O1045" s="2"/>
      <c r="P1045" s="3"/>
      <c r="Q1045" s="2"/>
      <c r="R1045" s="3"/>
      <c r="S1045" s="3"/>
      <c r="T1045" s="2"/>
      <c r="U1045" s="8">
        <f t="shared" si="132"/>
        <v>0</v>
      </c>
      <c r="V1045" s="8"/>
      <c r="W1045" s="8"/>
      <c r="X1045" s="8"/>
      <c r="Y1045" s="8"/>
      <c r="Z1045" s="8"/>
      <c r="AA1045" s="8"/>
      <c r="AB1045" s="8"/>
      <c r="AC1045" s="8">
        <f t="shared" si="133"/>
        <v>0</v>
      </c>
      <c r="AD1045" s="8"/>
      <c r="AE1045" s="8"/>
      <c r="AF1045" s="8"/>
      <c r="AG1045" s="8"/>
      <c r="AH1045" s="8"/>
      <c r="AI1045" s="8"/>
      <c r="AJ1045" s="8"/>
      <c r="AK1045" s="8"/>
      <c r="AL1045" s="8"/>
      <c r="AM1045" s="8">
        <v>119618536</v>
      </c>
      <c r="AN1045" s="8">
        <f>SUBTOTAL(9,AC1045:AM1045)</f>
        <v>119618536</v>
      </c>
      <c r="AO1045" s="8"/>
      <c r="AP1045" s="8"/>
      <c r="AQ1045" s="8"/>
      <c r="AR1045" s="8"/>
      <c r="AS1045" s="8"/>
      <c r="AT1045" s="8"/>
      <c r="AU1045" s="8"/>
      <c r="AV1045" s="8"/>
      <c r="AW1045" s="8"/>
      <c r="AX1045" s="8"/>
      <c r="AY1045" s="8">
        <v>194306355</v>
      </c>
      <c r="AZ1045" s="8"/>
      <c r="BA1045" s="8">
        <f>VLOOKUP(B1045,[1]Hoja3!J$3:K$674,2,0)</f>
        <v>40490014</v>
      </c>
      <c r="BB1045" s="8"/>
      <c r="BC1045" s="8">
        <f t="shared" si="134"/>
        <v>354414905</v>
      </c>
      <c r="BD1045" s="4">
        <v>194306355</v>
      </c>
      <c r="BE1045" s="4">
        <f t="shared" si="135"/>
        <v>160108550</v>
      </c>
      <c r="BF1045" s="30">
        <f t="shared" si="136"/>
        <v>354414905</v>
      </c>
      <c r="BG1045" s="18">
        <f t="shared" si="137"/>
        <v>0</v>
      </c>
      <c r="BH1045" s="23"/>
      <c r="BI1045" s="23"/>
      <c r="BJ1045" s="23"/>
    </row>
    <row r="1046" spans="1:66" ht="15" customHeight="1" x14ac:dyDescent="0.2">
      <c r="A1046" s="1">
        <v>8918578616</v>
      </c>
      <c r="B1046" s="1">
        <v>891857861</v>
      </c>
      <c r="C1046" s="15">
        <v>213085430</v>
      </c>
      <c r="D1046" s="16" t="s">
        <v>972</v>
      </c>
      <c r="E1046" s="41" t="s">
        <v>2032</v>
      </c>
      <c r="F1046" s="28"/>
      <c r="G1046" s="2"/>
      <c r="H1046" s="3"/>
      <c r="I1046" s="2"/>
      <c r="J1046" s="29"/>
      <c r="K1046" s="3"/>
      <c r="L1046" s="2"/>
      <c r="M1046" s="8"/>
      <c r="N1046" s="3"/>
      <c r="O1046" s="2"/>
      <c r="P1046" s="3"/>
      <c r="Q1046" s="2"/>
      <c r="R1046" s="3"/>
      <c r="S1046" s="3"/>
      <c r="T1046" s="2"/>
      <c r="U1046" s="8">
        <f t="shared" si="132"/>
        <v>0</v>
      </c>
      <c r="V1046" s="8"/>
      <c r="W1046" s="8"/>
      <c r="X1046" s="8"/>
      <c r="Y1046" s="8"/>
      <c r="Z1046" s="8"/>
      <c r="AA1046" s="8"/>
      <c r="AB1046" s="8"/>
      <c r="AC1046" s="8">
        <f t="shared" si="133"/>
        <v>0</v>
      </c>
      <c r="AD1046" s="8"/>
      <c r="AE1046" s="8"/>
      <c r="AF1046" s="8"/>
      <c r="AG1046" s="8"/>
      <c r="AH1046" s="8"/>
      <c r="AI1046" s="8"/>
      <c r="AJ1046" s="8"/>
      <c r="AK1046" s="8"/>
      <c r="AL1046" s="8"/>
      <c r="AM1046" s="8">
        <v>231368957</v>
      </c>
      <c r="AN1046" s="8">
        <f>SUBTOTAL(9,AC1046:AM1046)</f>
        <v>231368957</v>
      </c>
      <c r="AO1046" s="8"/>
      <c r="AP1046" s="8"/>
      <c r="AQ1046" s="8"/>
      <c r="AR1046" s="8"/>
      <c r="AS1046" s="8"/>
      <c r="AT1046" s="8"/>
      <c r="AU1046" s="8"/>
      <c r="AV1046" s="8"/>
      <c r="AW1046" s="8"/>
      <c r="AX1046" s="8"/>
      <c r="AY1046" s="8">
        <v>119462670</v>
      </c>
      <c r="AZ1046" s="8"/>
      <c r="BA1046" s="8">
        <f>VLOOKUP(B1046,[1]Hoja3!J$3:K$674,2,0)</f>
        <v>13510889</v>
      </c>
      <c r="BB1046" s="8"/>
      <c r="BC1046" s="8">
        <f t="shared" si="134"/>
        <v>364342516</v>
      </c>
      <c r="BD1046" s="4">
        <v>119462670</v>
      </c>
      <c r="BE1046" s="4">
        <f t="shared" si="135"/>
        <v>244879846</v>
      </c>
      <c r="BF1046" s="30">
        <f t="shared" si="136"/>
        <v>364342516</v>
      </c>
      <c r="BG1046" s="18">
        <f t="shared" si="137"/>
        <v>0</v>
      </c>
      <c r="BH1046" s="23"/>
      <c r="BI1046" s="23"/>
      <c r="BJ1046" s="23"/>
    </row>
    <row r="1047" spans="1:66" ht="15" customHeight="1" x14ac:dyDescent="0.2">
      <c r="A1047" s="1">
        <v>8919007643</v>
      </c>
      <c r="B1047" s="1">
        <v>891900764</v>
      </c>
      <c r="C1047" s="15">
        <v>212876828</v>
      </c>
      <c r="D1047" s="16" t="s">
        <v>941</v>
      </c>
      <c r="E1047" s="41" t="s">
        <v>2002</v>
      </c>
      <c r="F1047" s="28"/>
      <c r="G1047" s="2"/>
      <c r="H1047" s="3"/>
      <c r="I1047" s="2"/>
      <c r="J1047" s="29"/>
      <c r="K1047" s="3"/>
      <c r="L1047" s="2"/>
      <c r="M1047" s="8"/>
      <c r="N1047" s="3"/>
      <c r="O1047" s="2"/>
      <c r="P1047" s="3"/>
      <c r="Q1047" s="2"/>
      <c r="R1047" s="3"/>
      <c r="S1047" s="3"/>
      <c r="T1047" s="2"/>
      <c r="U1047" s="8">
        <f t="shared" si="132"/>
        <v>0</v>
      </c>
      <c r="V1047" s="8"/>
      <c r="W1047" s="8"/>
      <c r="X1047" s="8"/>
      <c r="Y1047" s="8"/>
      <c r="Z1047" s="8"/>
      <c r="AA1047" s="8"/>
      <c r="AB1047" s="8"/>
      <c r="AC1047" s="8">
        <f t="shared" si="133"/>
        <v>0</v>
      </c>
      <c r="AD1047" s="8"/>
      <c r="AE1047" s="8"/>
      <c r="AF1047" s="8"/>
      <c r="AG1047" s="8"/>
      <c r="AH1047" s="8"/>
      <c r="AI1047" s="8"/>
      <c r="AJ1047" s="8"/>
      <c r="AK1047" s="8"/>
      <c r="AL1047" s="8"/>
      <c r="AM1047" s="8"/>
      <c r="AN1047" s="8"/>
      <c r="AO1047" s="8"/>
      <c r="AP1047" s="8"/>
      <c r="AQ1047" s="8"/>
      <c r="AR1047" s="8"/>
      <c r="AS1047" s="8"/>
      <c r="AT1047" s="8"/>
      <c r="AU1047" s="8"/>
      <c r="AV1047" s="8"/>
      <c r="AW1047" s="8"/>
      <c r="AX1047" s="8"/>
      <c r="AY1047" s="8">
        <v>118875605</v>
      </c>
      <c r="AZ1047" s="8"/>
      <c r="BA1047" s="8">
        <f>VLOOKUP(B1047,[1]Hoja3!J$3:K$674,2,0)</f>
        <v>251301432</v>
      </c>
      <c r="BB1047" s="8"/>
      <c r="BC1047" s="8">
        <f t="shared" si="134"/>
        <v>370177037</v>
      </c>
      <c r="BD1047" s="4">
        <v>118875605</v>
      </c>
      <c r="BE1047" s="4">
        <f t="shared" si="135"/>
        <v>251301432</v>
      </c>
      <c r="BF1047" s="30">
        <f t="shared" si="136"/>
        <v>370177037</v>
      </c>
      <c r="BG1047" s="18">
        <f t="shared" si="137"/>
        <v>0</v>
      </c>
      <c r="BH1047" s="23"/>
      <c r="BI1047" s="23"/>
      <c r="BJ1047" s="23"/>
    </row>
    <row r="1048" spans="1:66" ht="15" customHeight="1" x14ac:dyDescent="0.2">
      <c r="A1048" s="1">
        <v>8000535523</v>
      </c>
      <c r="B1048" s="1">
        <v>800053552</v>
      </c>
      <c r="C1048" s="15">
        <v>213208832</v>
      </c>
      <c r="D1048" s="16" t="s">
        <v>179</v>
      </c>
      <c r="E1048" s="41" t="s">
        <v>1208</v>
      </c>
      <c r="F1048" s="28"/>
      <c r="G1048" s="2"/>
      <c r="H1048" s="3"/>
      <c r="I1048" s="2"/>
      <c r="J1048" s="29"/>
      <c r="K1048" s="3"/>
      <c r="L1048" s="2"/>
      <c r="M1048" s="8"/>
      <c r="N1048" s="3"/>
      <c r="O1048" s="2"/>
      <c r="P1048" s="3"/>
      <c r="Q1048" s="2"/>
      <c r="R1048" s="3"/>
      <c r="S1048" s="3"/>
      <c r="T1048" s="2"/>
      <c r="U1048" s="8">
        <f t="shared" si="132"/>
        <v>0</v>
      </c>
      <c r="V1048" s="8"/>
      <c r="W1048" s="8"/>
      <c r="X1048" s="8"/>
      <c r="Y1048" s="8"/>
      <c r="Z1048" s="8"/>
      <c r="AA1048" s="8"/>
      <c r="AB1048" s="8"/>
      <c r="AC1048" s="8">
        <f t="shared" si="133"/>
        <v>0</v>
      </c>
      <c r="AD1048" s="8"/>
      <c r="AE1048" s="8"/>
      <c r="AF1048" s="8"/>
      <c r="AG1048" s="8"/>
      <c r="AH1048" s="8"/>
      <c r="AI1048" s="8"/>
      <c r="AJ1048" s="8"/>
      <c r="AK1048" s="8"/>
      <c r="AL1048" s="8"/>
      <c r="AM1048" s="8">
        <v>134110063</v>
      </c>
      <c r="AN1048" s="8">
        <f>SUBTOTAL(9,AC1048:AM1048)</f>
        <v>134110063</v>
      </c>
      <c r="AO1048" s="8"/>
      <c r="AP1048" s="8"/>
      <c r="AQ1048" s="8"/>
      <c r="AR1048" s="8"/>
      <c r="AS1048" s="8"/>
      <c r="AT1048" s="8"/>
      <c r="AU1048" s="8"/>
      <c r="AV1048" s="8"/>
      <c r="AW1048" s="8"/>
      <c r="AX1048" s="8"/>
      <c r="AY1048" s="8">
        <v>70521760</v>
      </c>
      <c r="AZ1048" s="8"/>
      <c r="BA1048" s="8">
        <f>VLOOKUP(B1048,[1]Hoja3!J$3:K$674,2,0)</f>
        <v>40913866</v>
      </c>
      <c r="BB1048" s="8"/>
      <c r="BC1048" s="8">
        <f t="shared" si="134"/>
        <v>245545689</v>
      </c>
      <c r="BD1048" s="4">
        <v>70521760</v>
      </c>
      <c r="BE1048" s="4">
        <f t="shared" si="135"/>
        <v>175023929</v>
      </c>
      <c r="BF1048" s="30">
        <f t="shared" si="136"/>
        <v>245545689</v>
      </c>
      <c r="BG1048" s="18">
        <f t="shared" si="137"/>
        <v>0</v>
      </c>
      <c r="BH1048" s="23"/>
      <c r="BI1048" s="23"/>
      <c r="BJ1048" s="23"/>
    </row>
    <row r="1049" spans="1:66" ht="15" customHeight="1" x14ac:dyDescent="0.2">
      <c r="A1049" s="1">
        <v>9002201472</v>
      </c>
      <c r="B1049" s="1">
        <v>900220147</v>
      </c>
      <c r="C1049" s="15">
        <v>923271490</v>
      </c>
      <c r="D1049" s="16" t="s">
        <v>1001</v>
      </c>
      <c r="E1049" s="41" t="s">
        <v>2059</v>
      </c>
      <c r="F1049" s="28"/>
      <c r="G1049" s="2"/>
      <c r="H1049" s="3"/>
      <c r="I1049" s="2"/>
      <c r="J1049" s="29"/>
      <c r="K1049" s="3"/>
      <c r="L1049" s="2"/>
      <c r="M1049" s="8"/>
      <c r="N1049" s="3"/>
      <c r="O1049" s="2"/>
      <c r="P1049" s="3"/>
      <c r="Q1049" s="2"/>
      <c r="R1049" s="3"/>
      <c r="S1049" s="3"/>
      <c r="T1049" s="2"/>
      <c r="U1049" s="8">
        <f t="shared" si="132"/>
        <v>0</v>
      </c>
      <c r="V1049" s="8"/>
      <c r="W1049" s="8"/>
      <c r="X1049" s="8"/>
      <c r="Y1049" s="8"/>
      <c r="Z1049" s="8"/>
      <c r="AA1049" s="8"/>
      <c r="AB1049" s="8"/>
      <c r="AC1049" s="8">
        <f t="shared" si="133"/>
        <v>0</v>
      </c>
      <c r="AD1049" s="8"/>
      <c r="AE1049" s="8"/>
      <c r="AF1049" s="8"/>
      <c r="AG1049" s="8"/>
      <c r="AH1049" s="8"/>
      <c r="AI1049" s="8"/>
      <c r="AJ1049" s="8"/>
      <c r="AK1049" s="8"/>
      <c r="AL1049" s="8"/>
      <c r="AM1049" s="8"/>
      <c r="AN1049" s="8"/>
      <c r="AO1049" s="8"/>
      <c r="AP1049" s="8"/>
      <c r="AQ1049" s="8"/>
      <c r="AR1049" s="8"/>
      <c r="AS1049" s="8"/>
      <c r="AT1049" s="8"/>
      <c r="AU1049" s="8"/>
      <c r="AV1049" s="8"/>
      <c r="AW1049" s="8"/>
      <c r="AX1049" s="8"/>
      <c r="AY1049" s="8">
        <v>622857365</v>
      </c>
      <c r="AZ1049" s="8"/>
      <c r="BA1049" s="8"/>
      <c r="BB1049" s="8"/>
      <c r="BC1049" s="8">
        <f t="shared" si="134"/>
        <v>622857365</v>
      </c>
      <c r="BD1049" s="4">
        <v>622857365</v>
      </c>
      <c r="BE1049" s="4">
        <f t="shared" si="135"/>
        <v>0</v>
      </c>
      <c r="BF1049" s="30">
        <f t="shared" si="136"/>
        <v>622857365</v>
      </c>
      <c r="BG1049" s="18">
        <f t="shared" si="137"/>
        <v>0</v>
      </c>
      <c r="BH1049" s="23"/>
      <c r="BI1049" s="23"/>
      <c r="BJ1049" s="23"/>
    </row>
    <row r="1050" spans="1:66" ht="15" customHeight="1" x14ac:dyDescent="0.2">
      <c r="A1050" s="1">
        <v>8919002721</v>
      </c>
      <c r="B1050" s="1">
        <v>891900272</v>
      </c>
      <c r="C1050" s="15">
        <v>213476834</v>
      </c>
      <c r="D1050" s="16" t="s">
        <v>2189</v>
      </c>
      <c r="E1050" s="53" t="s">
        <v>1064</v>
      </c>
      <c r="F1050" s="28"/>
      <c r="G1050" s="2"/>
      <c r="H1050" s="3"/>
      <c r="I1050" s="2">
        <f>4234936436+175888467</f>
        <v>4410824903</v>
      </c>
      <c r="J1050" s="29">
        <v>293140901</v>
      </c>
      <c r="K1050" s="3">
        <v>584373716</v>
      </c>
      <c r="L1050" s="2"/>
      <c r="M1050" s="37">
        <f>SUM(F1050:L1050)</f>
        <v>5288339520</v>
      </c>
      <c r="N1050" s="3"/>
      <c r="O1050" s="2"/>
      <c r="P1050" s="3"/>
      <c r="Q1050" s="2">
        <f>4093395787+79949303</f>
        <v>4173345090</v>
      </c>
      <c r="R1050" s="3">
        <v>293140901</v>
      </c>
      <c r="S1050" s="3">
        <f>291232815+293140901</f>
        <v>584373716</v>
      </c>
      <c r="T1050" s="2"/>
      <c r="U1050" s="8">
        <f t="shared" si="132"/>
        <v>10339199227</v>
      </c>
      <c r="V1050" s="8"/>
      <c r="W1050" s="8"/>
      <c r="X1050" s="8"/>
      <c r="Y1050" s="8">
        <v>4961198219</v>
      </c>
      <c r="Z1050" s="8">
        <v>256103915</v>
      </c>
      <c r="AA1050" s="8">
        <v>609629757</v>
      </c>
      <c r="AB1050" s="8"/>
      <c r="AC1050" s="8">
        <f t="shared" si="133"/>
        <v>16166131118</v>
      </c>
      <c r="AD1050" s="8"/>
      <c r="AE1050" s="8"/>
      <c r="AF1050" s="8"/>
      <c r="AG1050" s="8"/>
      <c r="AH1050" s="8">
        <v>4262998629</v>
      </c>
      <c r="AI1050" s="8">
        <v>851900436</v>
      </c>
      <c r="AJ1050" s="8">
        <v>288198111</v>
      </c>
      <c r="AK1050" s="8">
        <v>726547182</v>
      </c>
      <c r="AL1050" s="8"/>
      <c r="AM1050" s="8">
        <v>2142519143</v>
      </c>
      <c r="AN1050" s="8">
        <f>SUBTOTAL(9,AC1050:AM1050)</f>
        <v>24438294619</v>
      </c>
      <c r="AO1050" s="8"/>
      <c r="AP1050" s="8"/>
      <c r="AQ1050" s="8">
        <v>702056415</v>
      </c>
      <c r="AR1050" s="8"/>
      <c r="AS1050" s="8"/>
      <c r="AT1050" s="8">
        <v>4262998629</v>
      </c>
      <c r="AU1050" s="8"/>
      <c r="AV1050" s="8">
        <v>288198111</v>
      </c>
      <c r="AW1050" s="8">
        <v>492076800</v>
      </c>
      <c r="AX1050" s="8"/>
      <c r="AY1050" s="8"/>
      <c r="AZ1050" s="8">
        <v>496722004</v>
      </c>
      <c r="BA1050" s="8">
        <f>VLOOKUP(B1050,[1]Hoja3!J$3:K$674,2,0)</f>
        <v>46523648</v>
      </c>
      <c r="BB1050" s="8"/>
      <c r="BC1050" s="8">
        <f t="shared" si="134"/>
        <v>30726870226</v>
      </c>
      <c r="BD1050" s="4">
        <v>28537827435</v>
      </c>
      <c r="BE1050" s="4">
        <f t="shared" si="135"/>
        <v>2189042791</v>
      </c>
      <c r="BF1050" s="30">
        <f t="shared" si="136"/>
        <v>30726870226</v>
      </c>
      <c r="BG1050" s="18">
        <f t="shared" si="137"/>
        <v>0</v>
      </c>
      <c r="BH1050" s="23"/>
      <c r="BI1050" s="23"/>
      <c r="BJ1050" s="23"/>
    </row>
    <row r="1051" spans="1:66" ht="15" customHeight="1" x14ac:dyDescent="0.2">
      <c r="A1051" s="1">
        <v>8912009162</v>
      </c>
      <c r="B1051" s="1">
        <v>891200916</v>
      </c>
      <c r="C1051" s="15">
        <v>213552835</v>
      </c>
      <c r="D1051" s="16" t="s">
        <v>2190</v>
      </c>
      <c r="E1051" s="53" t="s">
        <v>1052</v>
      </c>
      <c r="F1051" s="28"/>
      <c r="G1051" s="2"/>
      <c r="H1051" s="3"/>
      <c r="I1051" s="2">
        <f>5857593007+64321189</f>
        <v>5921914196</v>
      </c>
      <c r="J1051" s="29">
        <v>428824791</v>
      </c>
      <c r="K1051" s="3">
        <v>865799278</v>
      </c>
      <c r="L1051" s="2"/>
      <c r="M1051" s="37">
        <f>SUM(F1051:L1051)</f>
        <v>7216538265</v>
      </c>
      <c r="N1051" s="3"/>
      <c r="O1051" s="2"/>
      <c r="P1051" s="3"/>
      <c r="Q1051" s="2">
        <f>5895127977+29236904</f>
        <v>5924364881</v>
      </c>
      <c r="R1051" s="3">
        <v>429144842</v>
      </c>
      <c r="S1051" s="3">
        <f>436974487+429144842</f>
        <v>866119329</v>
      </c>
      <c r="T1051" s="2"/>
      <c r="U1051" s="8">
        <f t="shared" si="132"/>
        <v>14436167317</v>
      </c>
      <c r="V1051" s="8"/>
      <c r="W1051" s="8"/>
      <c r="X1051" s="8"/>
      <c r="Y1051" s="8">
        <v>8178102451</v>
      </c>
      <c r="Z1051" s="8">
        <v>355475353</v>
      </c>
      <c r="AA1051" s="8">
        <v>806042195</v>
      </c>
      <c r="AB1051" s="8"/>
      <c r="AC1051" s="8">
        <f t="shared" si="133"/>
        <v>23775787316</v>
      </c>
      <c r="AD1051" s="8"/>
      <c r="AE1051" s="8"/>
      <c r="AF1051" s="8"/>
      <c r="AG1051" s="8"/>
      <c r="AH1051" s="8">
        <v>5720691033</v>
      </c>
      <c r="AI1051" s="8">
        <v>555725631</v>
      </c>
      <c r="AJ1051" s="8">
        <v>407489292</v>
      </c>
      <c r="AK1051" s="8">
        <v>1030536206</v>
      </c>
      <c r="AL1051" s="8"/>
      <c r="AM1051" s="8">
        <v>3259084177</v>
      </c>
      <c r="AN1051" s="8">
        <f>SUBTOTAL(9,AC1051:AM1051)</f>
        <v>34749313655</v>
      </c>
      <c r="AO1051" s="8"/>
      <c r="AP1051" s="8"/>
      <c r="AQ1051" s="8">
        <v>1817489975</v>
      </c>
      <c r="AR1051" s="8"/>
      <c r="AS1051" s="8"/>
      <c r="AT1051" s="8">
        <v>5818540023</v>
      </c>
      <c r="AU1051" s="8">
        <v>1984000000</v>
      </c>
      <c r="AV1051" s="8">
        <v>407489292</v>
      </c>
      <c r="AW1051" s="8">
        <v>698586322</v>
      </c>
      <c r="AX1051" s="8"/>
      <c r="AY1051" s="8"/>
      <c r="AZ1051" s="8"/>
      <c r="BA1051" s="8"/>
      <c r="BB1051" s="8"/>
      <c r="BC1051" s="8">
        <f t="shared" si="134"/>
        <v>45475419267</v>
      </c>
      <c r="BD1051" s="4">
        <v>42216335090</v>
      </c>
      <c r="BE1051" s="4">
        <f t="shared" si="135"/>
        <v>3259084177</v>
      </c>
      <c r="BF1051" s="30">
        <f t="shared" si="136"/>
        <v>45475419267</v>
      </c>
      <c r="BG1051" s="18">
        <f t="shared" si="137"/>
        <v>0</v>
      </c>
      <c r="BH1051" s="23"/>
      <c r="BI1051" s="23"/>
      <c r="BJ1051" s="23"/>
    </row>
    <row r="1052" spans="1:66" ht="15" customHeight="1" x14ac:dyDescent="0.2">
      <c r="A1052" s="1">
        <v>8918008461</v>
      </c>
      <c r="B1052" s="1">
        <v>891800846</v>
      </c>
      <c r="C1052" s="15">
        <v>210115001</v>
      </c>
      <c r="D1052" s="16" t="s">
        <v>2191</v>
      </c>
      <c r="E1052" s="53" t="s">
        <v>1062</v>
      </c>
      <c r="F1052" s="28"/>
      <c r="G1052" s="2"/>
      <c r="H1052" s="3"/>
      <c r="I1052" s="2">
        <f>4147291741+118424968</f>
        <v>4265716709</v>
      </c>
      <c r="J1052" s="29">
        <v>232198560</v>
      </c>
      <c r="K1052" s="3">
        <v>459843908</v>
      </c>
      <c r="L1052" s="2"/>
      <c r="M1052" s="37">
        <f>SUM(F1052:L1052)</f>
        <v>4957759177</v>
      </c>
      <c r="N1052" s="3"/>
      <c r="O1052" s="2"/>
      <c r="P1052" s="3"/>
      <c r="Q1052" s="2">
        <f>3917743999+53829531</f>
        <v>3971573530</v>
      </c>
      <c r="R1052" s="3">
        <v>232198560</v>
      </c>
      <c r="S1052" s="3">
        <f>227645348+232198560</f>
        <v>459843908</v>
      </c>
      <c r="T1052" s="2"/>
      <c r="U1052" s="8">
        <f t="shared" si="132"/>
        <v>9621375175</v>
      </c>
      <c r="V1052" s="8"/>
      <c r="W1052" s="8"/>
      <c r="X1052" s="8"/>
      <c r="Y1052" s="8">
        <v>6210747951</v>
      </c>
      <c r="Z1052" s="8">
        <v>234751586</v>
      </c>
      <c r="AA1052" s="8">
        <v>531660791</v>
      </c>
      <c r="AB1052" s="8"/>
      <c r="AC1052" s="8">
        <f t="shared" si="133"/>
        <v>16598535503</v>
      </c>
      <c r="AD1052" s="8"/>
      <c r="AE1052" s="8"/>
      <c r="AF1052" s="8"/>
      <c r="AG1052" s="8"/>
      <c r="AH1052" s="8">
        <v>3477096877</v>
      </c>
      <c r="AI1052" s="8">
        <v>496290527</v>
      </c>
      <c r="AJ1052" s="8">
        <v>240260728</v>
      </c>
      <c r="AK1052" s="8">
        <v>605462928</v>
      </c>
      <c r="AL1052" s="8"/>
      <c r="AM1052" s="8">
        <v>1155568554</v>
      </c>
      <c r="AN1052" s="8">
        <f>SUBTOTAL(9,AC1052:AM1052)</f>
        <v>22573215117</v>
      </c>
      <c r="AO1052" s="8"/>
      <c r="AP1052" s="8"/>
      <c r="AQ1052" s="8">
        <v>505268405</v>
      </c>
      <c r="AR1052" s="8"/>
      <c r="AS1052" s="8"/>
      <c r="AT1052" s="8">
        <v>3477096877</v>
      </c>
      <c r="AU1052" s="8"/>
      <c r="AV1052" s="8">
        <v>240260728</v>
      </c>
      <c r="AW1052" s="8">
        <v>409982776</v>
      </c>
      <c r="AX1052" s="8"/>
      <c r="AY1052" s="8"/>
      <c r="AZ1052" s="8">
        <v>494772303</v>
      </c>
      <c r="BA1052" s="8">
        <f>VLOOKUP(B1052,[1]Hoja3!J$3:K$674,2,0)</f>
        <v>205010146</v>
      </c>
      <c r="BB1052" s="8"/>
      <c r="BC1052" s="8">
        <f t="shared" si="134"/>
        <v>27905606352</v>
      </c>
      <c r="BD1052" s="4">
        <v>26545027652</v>
      </c>
      <c r="BE1052" s="4">
        <f t="shared" si="135"/>
        <v>1360578700</v>
      </c>
      <c r="BF1052" s="30">
        <f t="shared" si="136"/>
        <v>27905606352</v>
      </c>
      <c r="BG1052" s="18">
        <f t="shared" si="137"/>
        <v>0</v>
      </c>
      <c r="BH1052" s="23"/>
      <c r="BI1052" s="23"/>
      <c r="BJ1052" s="23"/>
    </row>
    <row r="1053" spans="1:66" ht="15" customHeight="1" x14ac:dyDescent="0.2">
      <c r="A1053" s="1">
        <v>8000996393</v>
      </c>
      <c r="B1053" s="1">
        <v>800099639</v>
      </c>
      <c r="C1053" s="15">
        <v>213215832</v>
      </c>
      <c r="D1053" s="16" t="s">
        <v>328</v>
      </c>
      <c r="E1053" s="41" t="s">
        <v>1359</v>
      </c>
      <c r="F1053" s="28"/>
      <c r="G1053" s="17"/>
      <c r="H1053" s="3"/>
      <c r="I1053" s="2"/>
      <c r="J1053" s="29"/>
      <c r="K1053" s="3"/>
      <c r="L1053" s="17"/>
      <c r="M1053" s="34"/>
      <c r="N1053" s="3"/>
      <c r="O1053" s="17"/>
      <c r="P1053" s="3"/>
      <c r="Q1053" s="2"/>
      <c r="R1053" s="3"/>
      <c r="S1053" s="3"/>
      <c r="T1053" s="17"/>
      <c r="U1053" s="8">
        <f t="shared" si="132"/>
        <v>0</v>
      </c>
      <c r="V1053" s="8"/>
      <c r="W1053" s="8"/>
      <c r="X1053" s="8"/>
      <c r="Y1053" s="8"/>
      <c r="Z1053" s="8"/>
      <c r="AA1053" s="8"/>
      <c r="AB1053" s="8"/>
      <c r="AC1053" s="8">
        <f t="shared" si="133"/>
        <v>0</v>
      </c>
      <c r="AD1053" s="8"/>
      <c r="AE1053" s="8"/>
      <c r="AF1053" s="8"/>
      <c r="AG1053" s="8"/>
      <c r="AH1053" s="8"/>
      <c r="AI1053" s="8"/>
      <c r="AJ1053" s="8"/>
      <c r="AK1053" s="8"/>
      <c r="AL1053" s="8"/>
      <c r="AM1053" s="8"/>
      <c r="AN1053" s="8"/>
      <c r="AO1053" s="8"/>
      <c r="AP1053" s="8"/>
      <c r="AQ1053" s="8"/>
      <c r="AR1053" s="8"/>
      <c r="AS1053" s="8"/>
      <c r="AT1053" s="8"/>
      <c r="AU1053" s="8"/>
      <c r="AV1053" s="8"/>
      <c r="AW1053" s="8"/>
      <c r="AX1053" s="8"/>
      <c r="AY1053" s="8">
        <v>12430490</v>
      </c>
      <c r="AZ1053" s="8"/>
      <c r="BA1053" s="8">
        <f>VLOOKUP(B1053,[1]Hoja3!J$3:K$674,2,0)</f>
        <v>22425385</v>
      </c>
      <c r="BB1053" s="8"/>
      <c r="BC1053" s="8">
        <f t="shared" si="134"/>
        <v>34855875</v>
      </c>
      <c r="BD1053" s="4">
        <v>12430490</v>
      </c>
      <c r="BE1053" s="4">
        <f t="shared" si="135"/>
        <v>22425385</v>
      </c>
      <c r="BF1053" s="30">
        <f t="shared" si="136"/>
        <v>34855875</v>
      </c>
      <c r="BG1053" s="18">
        <f t="shared" si="137"/>
        <v>0</v>
      </c>
      <c r="BH1053" s="23"/>
      <c r="BI1053" s="14"/>
      <c r="BJ1053" s="14"/>
      <c r="BK1053" s="14"/>
      <c r="BL1053" s="14"/>
      <c r="BM1053" s="14"/>
      <c r="BN1053" s="14"/>
    </row>
    <row r="1054" spans="1:66" ht="15" customHeight="1" x14ac:dyDescent="0.2">
      <c r="A1054" s="1">
        <v>8000991529</v>
      </c>
      <c r="B1054" s="1">
        <v>800099152</v>
      </c>
      <c r="C1054" s="15">
        <v>213852838</v>
      </c>
      <c r="D1054" s="16" t="s">
        <v>749</v>
      </c>
      <c r="E1054" s="41" t="s">
        <v>1770</v>
      </c>
      <c r="F1054" s="28"/>
      <c r="G1054" s="2"/>
      <c r="H1054" s="3"/>
      <c r="I1054" s="2"/>
      <c r="J1054" s="29"/>
      <c r="K1054" s="3"/>
      <c r="L1054" s="2"/>
      <c r="M1054" s="8"/>
      <c r="N1054" s="3"/>
      <c r="O1054" s="2"/>
      <c r="P1054" s="3"/>
      <c r="Q1054" s="2"/>
      <c r="R1054" s="3"/>
      <c r="S1054" s="3"/>
      <c r="T1054" s="2"/>
      <c r="U1054" s="8">
        <f t="shared" si="132"/>
        <v>0</v>
      </c>
      <c r="V1054" s="8"/>
      <c r="W1054" s="8"/>
      <c r="X1054" s="8"/>
      <c r="Y1054" s="8"/>
      <c r="Z1054" s="8"/>
      <c r="AA1054" s="8"/>
      <c r="AB1054" s="8"/>
      <c r="AC1054" s="8">
        <f t="shared" si="133"/>
        <v>0</v>
      </c>
      <c r="AD1054" s="8"/>
      <c r="AE1054" s="8"/>
      <c r="AF1054" s="8"/>
      <c r="AG1054" s="8"/>
      <c r="AH1054" s="8"/>
      <c r="AI1054" s="8"/>
      <c r="AJ1054" s="8"/>
      <c r="AK1054" s="8"/>
      <c r="AL1054" s="8"/>
      <c r="AM1054" s="8">
        <v>612953068</v>
      </c>
      <c r="AN1054" s="8">
        <f t="shared" ref="AN1054:AN1059" si="138">SUBTOTAL(9,AC1054:AM1054)</f>
        <v>612953068</v>
      </c>
      <c r="AO1054" s="8"/>
      <c r="AP1054" s="8"/>
      <c r="AQ1054" s="8"/>
      <c r="AR1054" s="8"/>
      <c r="AS1054" s="8"/>
      <c r="AT1054" s="8"/>
      <c r="AU1054" s="8"/>
      <c r="AV1054" s="8"/>
      <c r="AW1054" s="8"/>
      <c r="AX1054" s="8"/>
      <c r="AY1054" s="8">
        <v>293546890</v>
      </c>
      <c r="AZ1054" s="8"/>
      <c r="BA1054" s="8"/>
      <c r="BB1054" s="8"/>
      <c r="BC1054" s="8">
        <f t="shared" si="134"/>
        <v>906499958</v>
      </c>
      <c r="BD1054" s="4">
        <v>293546890</v>
      </c>
      <c r="BE1054" s="4">
        <f t="shared" si="135"/>
        <v>612953068</v>
      </c>
      <c r="BF1054" s="30">
        <f t="shared" si="136"/>
        <v>906499958</v>
      </c>
      <c r="BG1054" s="18">
        <f t="shared" si="137"/>
        <v>0</v>
      </c>
      <c r="BH1054" s="23"/>
      <c r="BI1054" s="23"/>
      <c r="BJ1054" s="23"/>
    </row>
    <row r="1055" spans="1:66" ht="15" customHeight="1" x14ac:dyDescent="0.2">
      <c r="A1055" s="1">
        <v>8904811490</v>
      </c>
      <c r="B1055" s="1">
        <v>890481149</v>
      </c>
      <c r="C1055" s="15">
        <v>213613836</v>
      </c>
      <c r="D1055" s="16" t="s">
        <v>213</v>
      </c>
      <c r="E1055" s="41" t="s">
        <v>1248</v>
      </c>
      <c r="F1055" s="28"/>
      <c r="G1055" s="17"/>
      <c r="H1055" s="3"/>
      <c r="I1055" s="2"/>
      <c r="J1055" s="29"/>
      <c r="K1055" s="3"/>
      <c r="L1055" s="17"/>
      <c r="M1055" s="34"/>
      <c r="N1055" s="3"/>
      <c r="O1055" s="17"/>
      <c r="P1055" s="3"/>
      <c r="Q1055" s="2"/>
      <c r="R1055" s="3"/>
      <c r="S1055" s="3"/>
      <c r="T1055" s="17"/>
      <c r="U1055" s="8">
        <f t="shared" si="132"/>
        <v>0</v>
      </c>
      <c r="V1055" s="8"/>
      <c r="W1055" s="8"/>
      <c r="X1055" s="8"/>
      <c r="Y1055" s="8"/>
      <c r="Z1055" s="8"/>
      <c r="AA1055" s="8"/>
      <c r="AB1055" s="8"/>
      <c r="AC1055" s="8">
        <f t="shared" si="133"/>
        <v>0</v>
      </c>
      <c r="AD1055" s="8"/>
      <c r="AE1055" s="8"/>
      <c r="AF1055" s="8"/>
      <c r="AG1055" s="8"/>
      <c r="AH1055" s="8"/>
      <c r="AI1055" s="8"/>
      <c r="AJ1055" s="8"/>
      <c r="AK1055" s="8"/>
      <c r="AL1055" s="8"/>
      <c r="AM1055" s="8">
        <v>972668324</v>
      </c>
      <c r="AN1055" s="8">
        <f t="shared" si="138"/>
        <v>972668324</v>
      </c>
      <c r="AO1055" s="8"/>
      <c r="AP1055" s="8"/>
      <c r="AQ1055" s="8"/>
      <c r="AR1055" s="8"/>
      <c r="AS1055" s="8"/>
      <c r="AT1055" s="8"/>
      <c r="AU1055" s="8"/>
      <c r="AV1055" s="8"/>
      <c r="AW1055" s="8"/>
      <c r="AX1055" s="8"/>
      <c r="AY1055" s="8"/>
      <c r="AZ1055" s="8"/>
      <c r="BA1055" s="8"/>
      <c r="BB1055" s="8"/>
      <c r="BC1055" s="8">
        <f t="shared" si="134"/>
        <v>972668324</v>
      </c>
      <c r="BD1055" s="4"/>
      <c r="BE1055" s="4">
        <f t="shared" si="135"/>
        <v>972668324</v>
      </c>
      <c r="BF1055" s="30">
        <f t="shared" si="136"/>
        <v>972668324</v>
      </c>
      <c r="BG1055" s="18">
        <f t="shared" si="137"/>
        <v>0</v>
      </c>
      <c r="BH1055" s="23"/>
      <c r="BI1055" s="14"/>
      <c r="BJ1055" s="14"/>
      <c r="BK1055" s="14"/>
      <c r="BL1055" s="14"/>
      <c r="BM1055" s="14"/>
      <c r="BN1055" s="14"/>
    </row>
    <row r="1056" spans="1:66" ht="15" customHeight="1" x14ac:dyDescent="0.2">
      <c r="A1056" s="1">
        <v>8904813243</v>
      </c>
      <c r="B1056" s="1">
        <v>890481324</v>
      </c>
      <c r="C1056" s="15">
        <v>213813838</v>
      </c>
      <c r="D1056" s="16" t="s">
        <v>214</v>
      </c>
      <c r="E1056" s="41" t="s">
        <v>1249</v>
      </c>
      <c r="F1056" s="28"/>
      <c r="G1056" s="17"/>
      <c r="H1056" s="3"/>
      <c r="I1056" s="2"/>
      <c r="J1056" s="29"/>
      <c r="K1056" s="3"/>
      <c r="L1056" s="17"/>
      <c r="M1056" s="34"/>
      <c r="N1056" s="3"/>
      <c r="O1056" s="17"/>
      <c r="P1056" s="3"/>
      <c r="Q1056" s="2"/>
      <c r="R1056" s="3"/>
      <c r="S1056" s="3"/>
      <c r="T1056" s="17"/>
      <c r="U1056" s="8">
        <f t="shared" si="132"/>
        <v>0</v>
      </c>
      <c r="V1056" s="8"/>
      <c r="W1056" s="8"/>
      <c r="X1056" s="8"/>
      <c r="Y1056" s="8"/>
      <c r="Z1056" s="8"/>
      <c r="AA1056" s="8"/>
      <c r="AB1056" s="8"/>
      <c r="AC1056" s="8">
        <f t="shared" si="133"/>
        <v>0</v>
      </c>
      <c r="AD1056" s="8"/>
      <c r="AE1056" s="8"/>
      <c r="AF1056" s="8"/>
      <c r="AG1056" s="8"/>
      <c r="AH1056" s="8"/>
      <c r="AI1056" s="8"/>
      <c r="AJ1056" s="8"/>
      <c r="AK1056" s="8"/>
      <c r="AL1056" s="8"/>
      <c r="AM1056" s="8">
        <v>252341191</v>
      </c>
      <c r="AN1056" s="8">
        <f t="shared" si="138"/>
        <v>252341191</v>
      </c>
      <c r="AO1056" s="8"/>
      <c r="AP1056" s="8"/>
      <c r="AQ1056" s="8"/>
      <c r="AR1056" s="8"/>
      <c r="AS1056" s="8"/>
      <c r="AT1056" s="8"/>
      <c r="AU1056" s="8"/>
      <c r="AV1056" s="8"/>
      <c r="AW1056" s="8"/>
      <c r="AX1056" s="8"/>
      <c r="AY1056" s="8"/>
      <c r="AZ1056" s="8"/>
      <c r="BA1056" s="8"/>
      <c r="BB1056" s="8"/>
      <c r="BC1056" s="8">
        <f t="shared" si="134"/>
        <v>252341191</v>
      </c>
      <c r="BD1056" s="4"/>
      <c r="BE1056" s="4">
        <f t="shared" si="135"/>
        <v>252341191</v>
      </c>
      <c r="BF1056" s="30">
        <f t="shared" si="136"/>
        <v>252341191</v>
      </c>
      <c r="BG1056" s="18">
        <f t="shared" si="137"/>
        <v>0</v>
      </c>
      <c r="BH1056" s="23"/>
      <c r="BI1056" s="14"/>
      <c r="BJ1056" s="14"/>
      <c r="BK1056" s="14"/>
      <c r="BL1056" s="14"/>
      <c r="BM1056" s="14"/>
      <c r="BN1056" s="14"/>
    </row>
    <row r="1057" spans="1:66" ht="15" customHeight="1" x14ac:dyDescent="0.2">
      <c r="A1057" s="1">
        <v>8909811385</v>
      </c>
      <c r="B1057" s="1">
        <v>890981138</v>
      </c>
      <c r="C1057" s="15">
        <v>213705837</v>
      </c>
      <c r="D1057" s="16" t="s">
        <v>2192</v>
      </c>
      <c r="E1057" s="53" t="s">
        <v>1051</v>
      </c>
      <c r="F1057" s="28"/>
      <c r="G1057" s="2"/>
      <c r="H1057" s="3"/>
      <c r="I1057" s="39">
        <f>4624284426+79098404</f>
        <v>4703382830</v>
      </c>
      <c r="J1057" s="29">
        <v>353485309</v>
      </c>
      <c r="K1057" s="3">
        <v>712809842</v>
      </c>
      <c r="L1057" s="2"/>
      <c r="M1057" s="37">
        <f>SUM(F1057:L1057)</f>
        <v>5769677981</v>
      </c>
      <c r="N1057" s="3"/>
      <c r="O1057" s="2"/>
      <c r="P1057" s="3"/>
      <c r="Q1057" s="2">
        <f>4556760823+35953820</f>
        <v>4592714643</v>
      </c>
      <c r="R1057" s="3">
        <v>353485309</v>
      </c>
      <c r="S1057" s="3">
        <f>359324533+353485309</f>
        <v>712809842</v>
      </c>
      <c r="T1057" s="2"/>
      <c r="U1057" s="8">
        <f t="shared" si="132"/>
        <v>11428687775</v>
      </c>
      <c r="V1057" s="8"/>
      <c r="W1057" s="8"/>
      <c r="X1057" s="8"/>
      <c r="Y1057" s="8">
        <v>7123493429</v>
      </c>
      <c r="Z1057" s="8">
        <v>369425542</v>
      </c>
      <c r="AA1057" s="8">
        <v>800160296</v>
      </c>
      <c r="AB1057" s="8"/>
      <c r="AC1057" s="8">
        <f t="shared" si="133"/>
        <v>19721767042</v>
      </c>
      <c r="AD1057" s="8"/>
      <c r="AE1057" s="8"/>
      <c r="AF1057" s="8"/>
      <c r="AG1057" s="8"/>
      <c r="AH1057" s="8">
        <v>5058817204</v>
      </c>
      <c r="AI1057" s="8">
        <v>2730412199</v>
      </c>
      <c r="AJ1057" s="8">
        <v>359875299</v>
      </c>
      <c r="AK1057" s="8">
        <v>909401529</v>
      </c>
      <c r="AL1057" s="8"/>
      <c r="AM1057" s="8">
        <v>2933066854</v>
      </c>
      <c r="AN1057" s="8">
        <f t="shared" si="138"/>
        <v>31713340127</v>
      </c>
      <c r="AO1057" s="8"/>
      <c r="AP1057" s="8"/>
      <c r="AQ1057" s="8">
        <v>1699086055</v>
      </c>
      <c r="AR1057" s="8"/>
      <c r="AS1057" s="8"/>
      <c r="AT1057" s="8">
        <v>5058817204</v>
      </c>
      <c r="AU1057" s="8"/>
      <c r="AV1057" s="8">
        <v>359875299</v>
      </c>
      <c r="AW1057" s="8">
        <v>616459295</v>
      </c>
      <c r="AX1057" s="8"/>
      <c r="AY1057" s="8"/>
      <c r="AZ1057" s="8">
        <v>525626693</v>
      </c>
      <c r="BA1057" s="8">
        <f>VLOOKUP(B1057,[1]Hoja3!J$3:K$674,2,0)</f>
        <v>92150650</v>
      </c>
      <c r="BB1057" s="8">
        <f>VLOOKUP(B1057,'[2]anuladas en mayo gratuidad}'!K$2:L$55,2,0)</f>
        <v>179922972</v>
      </c>
      <c r="BC1057" s="8">
        <f t="shared" si="134"/>
        <v>39885432351</v>
      </c>
      <c r="BD1057" s="4">
        <v>37040137819</v>
      </c>
      <c r="BE1057" s="4">
        <f t="shared" si="135"/>
        <v>2845294532</v>
      </c>
      <c r="BF1057" s="30">
        <f t="shared" si="136"/>
        <v>39885432351</v>
      </c>
      <c r="BG1057" s="18">
        <f t="shared" si="137"/>
        <v>0</v>
      </c>
      <c r="BH1057" s="23"/>
      <c r="BI1057" s="23"/>
      <c r="BJ1057" s="23"/>
    </row>
    <row r="1058" spans="1:66" ht="15" customHeight="1" x14ac:dyDescent="0.2">
      <c r="A1058" s="1">
        <v>8918017878</v>
      </c>
      <c r="B1058" s="1">
        <v>891801787</v>
      </c>
      <c r="C1058" s="15">
        <v>213515835</v>
      </c>
      <c r="D1058" s="16" t="s">
        <v>329</v>
      </c>
      <c r="E1058" s="41" t="s">
        <v>1360</v>
      </c>
      <c r="F1058" s="28"/>
      <c r="G1058" s="17"/>
      <c r="H1058" s="3"/>
      <c r="I1058" s="2"/>
      <c r="J1058" s="29"/>
      <c r="K1058" s="3"/>
      <c r="L1058" s="17"/>
      <c r="M1058" s="34"/>
      <c r="N1058" s="3"/>
      <c r="O1058" s="17"/>
      <c r="P1058" s="3"/>
      <c r="Q1058" s="2"/>
      <c r="R1058" s="3"/>
      <c r="S1058" s="3"/>
      <c r="T1058" s="17"/>
      <c r="U1058" s="8">
        <f t="shared" si="132"/>
        <v>0</v>
      </c>
      <c r="V1058" s="8"/>
      <c r="W1058" s="8"/>
      <c r="X1058" s="8"/>
      <c r="Y1058" s="8"/>
      <c r="Z1058" s="8"/>
      <c r="AA1058" s="8"/>
      <c r="AB1058" s="8"/>
      <c r="AC1058" s="8">
        <f t="shared" si="133"/>
        <v>0</v>
      </c>
      <c r="AD1058" s="8"/>
      <c r="AE1058" s="8"/>
      <c r="AF1058" s="8"/>
      <c r="AG1058" s="8"/>
      <c r="AH1058" s="8"/>
      <c r="AI1058" s="8"/>
      <c r="AJ1058" s="8"/>
      <c r="AK1058" s="8"/>
      <c r="AL1058" s="8"/>
      <c r="AM1058" s="8">
        <v>15989704</v>
      </c>
      <c r="AN1058" s="8">
        <f t="shared" si="138"/>
        <v>15989704</v>
      </c>
      <c r="AO1058" s="8"/>
      <c r="AP1058" s="8"/>
      <c r="AQ1058" s="8"/>
      <c r="AR1058" s="8"/>
      <c r="AS1058" s="8"/>
      <c r="AT1058" s="8"/>
      <c r="AU1058" s="8"/>
      <c r="AV1058" s="8"/>
      <c r="AW1058" s="8"/>
      <c r="AX1058" s="8"/>
      <c r="AY1058" s="8">
        <v>52047645</v>
      </c>
      <c r="AZ1058" s="8"/>
      <c r="BA1058" s="8">
        <f>VLOOKUP(B1058,[1]Hoja3!J$3:K$674,2,0)</f>
        <v>106810019</v>
      </c>
      <c r="BB1058" s="8"/>
      <c r="BC1058" s="8">
        <f t="shared" si="134"/>
        <v>174847368</v>
      </c>
      <c r="BD1058" s="4">
        <v>52047645</v>
      </c>
      <c r="BE1058" s="4">
        <f t="shared" si="135"/>
        <v>122799723</v>
      </c>
      <c r="BF1058" s="30">
        <f t="shared" si="136"/>
        <v>174847368</v>
      </c>
      <c r="BG1058" s="18">
        <f t="shared" si="137"/>
        <v>0</v>
      </c>
      <c r="BH1058" s="23"/>
      <c r="BI1058" s="14"/>
      <c r="BJ1058" s="14"/>
      <c r="BK1058" s="14"/>
      <c r="BL1058" s="14"/>
      <c r="BM1058" s="14"/>
      <c r="BN1058" s="14"/>
    </row>
    <row r="1059" spans="1:66" ht="15" customHeight="1" x14ac:dyDescent="0.2">
      <c r="A1059" s="1">
        <v>8000272923</v>
      </c>
      <c r="B1059" s="1">
        <v>800027292</v>
      </c>
      <c r="C1059" s="15">
        <v>213715837</v>
      </c>
      <c r="D1059" s="16" t="s">
        <v>330</v>
      </c>
      <c r="E1059" s="41" t="s">
        <v>1361</v>
      </c>
      <c r="F1059" s="28"/>
      <c r="G1059" s="17"/>
      <c r="H1059" s="3"/>
      <c r="I1059" s="2"/>
      <c r="J1059" s="29"/>
      <c r="K1059" s="3"/>
      <c r="L1059" s="17"/>
      <c r="M1059" s="34"/>
      <c r="N1059" s="3"/>
      <c r="O1059" s="17"/>
      <c r="P1059" s="3"/>
      <c r="Q1059" s="2"/>
      <c r="R1059" s="3"/>
      <c r="S1059" s="3"/>
      <c r="T1059" s="17"/>
      <c r="U1059" s="8">
        <f t="shared" si="132"/>
        <v>0</v>
      </c>
      <c r="V1059" s="8"/>
      <c r="W1059" s="8"/>
      <c r="X1059" s="8"/>
      <c r="Y1059" s="8"/>
      <c r="Z1059" s="8"/>
      <c r="AA1059" s="8"/>
      <c r="AB1059" s="8"/>
      <c r="AC1059" s="8">
        <f t="shared" si="133"/>
        <v>0</v>
      </c>
      <c r="AD1059" s="8"/>
      <c r="AE1059" s="8"/>
      <c r="AF1059" s="8"/>
      <c r="AG1059" s="8"/>
      <c r="AH1059" s="8"/>
      <c r="AI1059" s="8"/>
      <c r="AJ1059" s="8"/>
      <c r="AK1059" s="8"/>
      <c r="AL1059" s="8"/>
      <c r="AM1059" s="8">
        <v>78153866</v>
      </c>
      <c r="AN1059" s="8">
        <f t="shared" si="138"/>
        <v>78153866</v>
      </c>
      <c r="AO1059" s="8"/>
      <c r="AP1059" s="8"/>
      <c r="AQ1059" s="8"/>
      <c r="AR1059" s="8"/>
      <c r="AS1059" s="8"/>
      <c r="AT1059" s="8"/>
      <c r="AU1059" s="8"/>
      <c r="AV1059" s="8"/>
      <c r="AW1059" s="8"/>
      <c r="AX1059" s="8"/>
      <c r="AY1059" s="8">
        <v>64509595</v>
      </c>
      <c r="AZ1059" s="8"/>
      <c r="BA1059" s="8">
        <f>VLOOKUP(B1059,[1]Hoja3!J$3:K$674,2,0)</f>
        <v>87075345</v>
      </c>
      <c r="BB1059" s="8"/>
      <c r="BC1059" s="8">
        <f t="shared" si="134"/>
        <v>229738806</v>
      </c>
      <c r="BD1059" s="4">
        <v>64509595</v>
      </c>
      <c r="BE1059" s="4">
        <f t="shared" si="135"/>
        <v>165229211</v>
      </c>
      <c r="BF1059" s="30">
        <f t="shared" si="136"/>
        <v>229738806</v>
      </c>
      <c r="BG1059" s="18">
        <f t="shared" si="137"/>
        <v>0</v>
      </c>
      <c r="BH1059" s="23"/>
      <c r="BI1059" s="14"/>
      <c r="BJ1059" s="14"/>
      <c r="BK1059" s="14"/>
      <c r="BL1059" s="14"/>
      <c r="BM1059" s="14"/>
      <c r="BN1059" s="14"/>
    </row>
    <row r="1060" spans="1:66" ht="15" customHeight="1" x14ac:dyDescent="0.2">
      <c r="A1060" s="1">
        <v>8000996354</v>
      </c>
      <c r="B1060" s="1">
        <v>800099635</v>
      </c>
      <c r="C1060" s="15">
        <v>213915839</v>
      </c>
      <c r="D1060" s="16" t="s">
        <v>331</v>
      </c>
      <c r="E1060" s="41" t="s">
        <v>1362</v>
      </c>
      <c r="F1060" s="28"/>
      <c r="G1060" s="17"/>
      <c r="H1060" s="3"/>
      <c r="I1060" s="2"/>
      <c r="J1060" s="29"/>
      <c r="K1060" s="3"/>
      <c r="L1060" s="17"/>
      <c r="M1060" s="34"/>
      <c r="N1060" s="3"/>
      <c r="O1060" s="17"/>
      <c r="P1060" s="3"/>
      <c r="Q1060" s="2"/>
      <c r="R1060" s="3"/>
      <c r="S1060" s="3"/>
      <c r="T1060" s="17"/>
      <c r="U1060" s="8">
        <f t="shared" si="132"/>
        <v>0</v>
      </c>
      <c r="V1060" s="8"/>
      <c r="W1060" s="8"/>
      <c r="X1060" s="8"/>
      <c r="Y1060" s="8"/>
      <c r="Z1060" s="8"/>
      <c r="AA1060" s="8"/>
      <c r="AB1060" s="8"/>
      <c r="AC1060" s="8">
        <f t="shared" si="133"/>
        <v>0</v>
      </c>
      <c r="AD1060" s="8"/>
      <c r="AE1060" s="8"/>
      <c r="AF1060" s="8"/>
      <c r="AG1060" s="8"/>
      <c r="AH1060" s="8"/>
      <c r="AI1060" s="8"/>
      <c r="AJ1060" s="8"/>
      <c r="AK1060" s="8"/>
      <c r="AL1060" s="8"/>
      <c r="AM1060" s="8"/>
      <c r="AN1060" s="8"/>
      <c r="AO1060" s="8"/>
      <c r="AP1060" s="8"/>
      <c r="AQ1060" s="8"/>
      <c r="AR1060" s="8"/>
      <c r="AS1060" s="8"/>
      <c r="AT1060" s="8"/>
      <c r="AU1060" s="8"/>
      <c r="AV1060" s="8"/>
      <c r="AW1060" s="8"/>
      <c r="AX1060" s="8"/>
      <c r="AY1060" s="8"/>
      <c r="AZ1060" s="8"/>
      <c r="BA1060" s="8">
        <f>VLOOKUP(B1060,[1]Hoja3!J$3:K$674,2,0)</f>
        <v>36086375</v>
      </c>
      <c r="BB1060" s="8"/>
      <c r="BC1060" s="8">
        <f t="shared" si="134"/>
        <v>36086375</v>
      </c>
      <c r="BD1060" s="4"/>
      <c r="BE1060" s="4">
        <f t="shared" si="135"/>
        <v>36086375</v>
      </c>
      <c r="BF1060" s="30">
        <f t="shared" si="136"/>
        <v>36086375</v>
      </c>
      <c r="BG1060" s="18">
        <f t="shared" si="137"/>
        <v>0</v>
      </c>
      <c r="BH1060" s="23"/>
      <c r="BI1060" s="14"/>
      <c r="BJ1060" s="14"/>
      <c r="BK1060" s="14"/>
      <c r="BL1060" s="14"/>
      <c r="BM1060" s="14"/>
      <c r="BN1060" s="14"/>
    </row>
    <row r="1061" spans="1:66" ht="15" customHeight="1" x14ac:dyDescent="0.2">
      <c r="A1061" s="1">
        <v>8999993851</v>
      </c>
      <c r="B1061" s="1">
        <v>899999385</v>
      </c>
      <c r="C1061" s="15">
        <v>213925839</v>
      </c>
      <c r="D1061" s="16" t="s">
        <v>554</v>
      </c>
      <c r="E1061" s="41" t="s">
        <v>2076</v>
      </c>
      <c r="F1061" s="28"/>
      <c r="G1061" s="2"/>
      <c r="H1061" s="3"/>
      <c r="I1061" s="2"/>
      <c r="J1061" s="29"/>
      <c r="K1061" s="3"/>
      <c r="L1061" s="2"/>
      <c r="M1061" s="8"/>
      <c r="N1061" s="3"/>
      <c r="O1061" s="2"/>
      <c r="P1061" s="3"/>
      <c r="Q1061" s="2"/>
      <c r="R1061" s="3"/>
      <c r="S1061" s="3"/>
      <c r="T1061" s="2"/>
      <c r="U1061" s="8">
        <f t="shared" si="132"/>
        <v>0</v>
      </c>
      <c r="V1061" s="8"/>
      <c r="W1061" s="8"/>
      <c r="X1061" s="8"/>
      <c r="Y1061" s="8"/>
      <c r="Z1061" s="8"/>
      <c r="AA1061" s="8"/>
      <c r="AB1061" s="8"/>
      <c r="AC1061" s="8">
        <f t="shared" si="133"/>
        <v>0</v>
      </c>
      <c r="AD1061" s="8"/>
      <c r="AE1061" s="8"/>
      <c r="AF1061" s="8"/>
      <c r="AG1061" s="8"/>
      <c r="AH1061" s="8"/>
      <c r="AI1061" s="8"/>
      <c r="AJ1061" s="8"/>
      <c r="AK1061" s="8"/>
      <c r="AL1061" s="8"/>
      <c r="AM1061" s="8">
        <v>180474721</v>
      </c>
      <c r="AN1061" s="8">
        <f>SUBTOTAL(9,AC1061:AM1061)</f>
        <v>180474721</v>
      </c>
      <c r="AO1061" s="8"/>
      <c r="AP1061" s="8"/>
      <c r="AQ1061" s="8"/>
      <c r="AR1061" s="8"/>
      <c r="AS1061" s="8"/>
      <c r="AT1061" s="8"/>
      <c r="AU1061" s="8"/>
      <c r="AV1061" s="8"/>
      <c r="AW1061" s="8"/>
      <c r="AX1061" s="8"/>
      <c r="AY1061" s="8"/>
      <c r="AZ1061" s="8"/>
      <c r="BA1061" s="8"/>
      <c r="BB1061" s="8"/>
      <c r="BC1061" s="8">
        <f t="shared" si="134"/>
        <v>180474721</v>
      </c>
      <c r="BD1061" s="4"/>
      <c r="BE1061" s="4">
        <f t="shared" si="135"/>
        <v>180474721</v>
      </c>
      <c r="BF1061" s="30">
        <f t="shared" si="136"/>
        <v>180474721</v>
      </c>
      <c r="BG1061" s="18">
        <f t="shared" si="137"/>
        <v>0</v>
      </c>
      <c r="BH1061" s="23"/>
      <c r="BI1061" s="23"/>
      <c r="BJ1061" s="23"/>
    </row>
    <row r="1062" spans="1:66" ht="15" customHeight="1" x14ac:dyDescent="0.2">
      <c r="A1062" s="1">
        <v>8000955680</v>
      </c>
      <c r="B1062" s="1">
        <v>800095568</v>
      </c>
      <c r="C1062" s="15">
        <v>214125841</v>
      </c>
      <c r="D1062" s="16" t="s">
        <v>555</v>
      </c>
      <c r="E1062" s="41" t="s">
        <v>1577</v>
      </c>
      <c r="F1062" s="28"/>
      <c r="G1062" s="2"/>
      <c r="H1062" s="3"/>
      <c r="I1062" s="2"/>
      <c r="J1062" s="29"/>
      <c r="K1062" s="3"/>
      <c r="L1062" s="2"/>
      <c r="M1062" s="8"/>
      <c r="N1062" s="3"/>
      <c r="O1062" s="2"/>
      <c r="P1062" s="3"/>
      <c r="Q1062" s="2"/>
      <c r="R1062" s="3"/>
      <c r="S1062" s="3"/>
      <c r="T1062" s="2"/>
      <c r="U1062" s="8">
        <f t="shared" si="132"/>
        <v>0</v>
      </c>
      <c r="V1062" s="8"/>
      <c r="W1062" s="8"/>
      <c r="X1062" s="8"/>
      <c r="Y1062" s="8"/>
      <c r="Z1062" s="8"/>
      <c r="AA1062" s="8"/>
      <c r="AB1062" s="8"/>
      <c r="AC1062" s="8">
        <f t="shared" si="133"/>
        <v>0</v>
      </c>
      <c r="AD1062" s="8"/>
      <c r="AE1062" s="8"/>
      <c r="AF1062" s="8"/>
      <c r="AG1062" s="8"/>
      <c r="AH1062" s="8"/>
      <c r="AI1062" s="8"/>
      <c r="AJ1062" s="8"/>
      <c r="AK1062" s="8"/>
      <c r="AL1062" s="8"/>
      <c r="AM1062" s="8">
        <v>96905037</v>
      </c>
      <c r="AN1062" s="8">
        <f>SUBTOTAL(9,AC1062:AM1062)</f>
        <v>96905037</v>
      </c>
      <c r="AO1062" s="8"/>
      <c r="AP1062" s="8"/>
      <c r="AQ1062" s="8"/>
      <c r="AR1062" s="8"/>
      <c r="AS1062" s="8"/>
      <c r="AT1062" s="8"/>
      <c r="AU1062" s="8"/>
      <c r="AV1062" s="8"/>
      <c r="AW1062" s="8"/>
      <c r="AX1062" s="8"/>
      <c r="AY1062" s="8"/>
      <c r="AZ1062" s="8"/>
      <c r="BA1062" s="8"/>
      <c r="BB1062" s="8"/>
      <c r="BC1062" s="8">
        <f t="shared" si="134"/>
        <v>96905037</v>
      </c>
      <c r="BD1062" s="4"/>
      <c r="BE1062" s="4">
        <f t="shared" si="135"/>
        <v>96905037</v>
      </c>
      <c r="BF1062" s="30">
        <f t="shared" si="136"/>
        <v>96905037</v>
      </c>
      <c r="BG1062" s="18">
        <f t="shared" si="137"/>
        <v>0</v>
      </c>
      <c r="BH1062" s="23"/>
      <c r="BI1062" s="23"/>
      <c r="BJ1062" s="23"/>
    </row>
    <row r="1063" spans="1:66" ht="15" customHeight="1" x14ac:dyDescent="0.2">
      <c r="A1063" s="1">
        <v>8999992812</v>
      </c>
      <c r="B1063" s="1">
        <v>899999281</v>
      </c>
      <c r="C1063" s="15">
        <v>214325843</v>
      </c>
      <c r="D1063" s="16" t="s">
        <v>556</v>
      </c>
      <c r="E1063" s="41" t="s">
        <v>1507</v>
      </c>
      <c r="F1063" s="28"/>
      <c r="G1063" s="2"/>
      <c r="H1063" s="3"/>
      <c r="I1063" s="2"/>
      <c r="J1063" s="29"/>
      <c r="K1063" s="3"/>
      <c r="L1063" s="2"/>
      <c r="M1063" s="8"/>
      <c r="N1063" s="3"/>
      <c r="O1063" s="2"/>
      <c r="P1063" s="3"/>
      <c r="Q1063" s="2"/>
      <c r="R1063" s="3"/>
      <c r="S1063" s="3"/>
      <c r="T1063" s="2"/>
      <c r="U1063" s="8">
        <f t="shared" si="132"/>
        <v>0</v>
      </c>
      <c r="V1063" s="8"/>
      <c r="W1063" s="8"/>
      <c r="X1063" s="8"/>
      <c r="Y1063" s="8"/>
      <c r="Z1063" s="8"/>
      <c r="AA1063" s="8"/>
      <c r="AB1063" s="8"/>
      <c r="AC1063" s="8">
        <f t="shared" si="133"/>
        <v>0</v>
      </c>
      <c r="AD1063" s="8"/>
      <c r="AE1063" s="8"/>
      <c r="AF1063" s="8"/>
      <c r="AG1063" s="8"/>
      <c r="AH1063" s="8"/>
      <c r="AI1063" s="8"/>
      <c r="AJ1063" s="8"/>
      <c r="AK1063" s="8"/>
      <c r="AL1063" s="8"/>
      <c r="AM1063" s="8">
        <v>510537150</v>
      </c>
      <c r="AN1063" s="8">
        <f>SUBTOTAL(9,AC1063:AM1063)</f>
        <v>510537150</v>
      </c>
      <c r="AO1063" s="8"/>
      <c r="AP1063" s="8"/>
      <c r="AQ1063" s="8"/>
      <c r="AR1063" s="8"/>
      <c r="AS1063" s="8"/>
      <c r="AT1063" s="8"/>
      <c r="AU1063" s="8"/>
      <c r="AV1063" s="8"/>
      <c r="AW1063" s="8"/>
      <c r="AX1063" s="8"/>
      <c r="AY1063" s="8"/>
      <c r="AZ1063" s="8"/>
      <c r="BA1063" s="8"/>
      <c r="BB1063" s="8"/>
      <c r="BC1063" s="8">
        <f t="shared" si="134"/>
        <v>510537150</v>
      </c>
      <c r="BD1063" s="4"/>
      <c r="BE1063" s="4">
        <f t="shared" si="135"/>
        <v>510537150</v>
      </c>
      <c r="BF1063" s="30">
        <f t="shared" si="136"/>
        <v>510537150</v>
      </c>
      <c r="BG1063" s="18">
        <f t="shared" si="137"/>
        <v>0</v>
      </c>
      <c r="BH1063" s="23"/>
      <c r="BI1063" s="23"/>
      <c r="BJ1063" s="23"/>
    </row>
    <row r="1064" spans="1:66" ht="15" customHeight="1" x14ac:dyDescent="0.2">
      <c r="A1064" s="1">
        <v>8001005295</v>
      </c>
      <c r="B1064" s="1">
        <v>800100529</v>
      </c>
      <c r="C1064" s="15">
        <v>214576845</v>
      </c>
      <c r="D1064" s="16" t="s">
        <v>942</v>
      </c>
      <c r="E1064" s="41" t="s">
        <v>2003</v>
      </c>
      <c r="F1064" s="28"/>
      <c r="G1064" s="2"/>
      <c r="H1064" s="3"/>
      <c r="I1064" s="2"/>
      <c r="J1064" s="29"/>
      <c r="K1064" s="3"/>
      <c r="L1064" s="2"/>
      <c r="M1064" s="8"/>
      <c r="N1064" s="3"/>
      <c r="O1064" s="2"/>
      <c r="P1064" s="3"/>
      <c r="Q1064" s="2"/>
      <c r="R1064" s="3"/>
      <c r="S1064" s="3"/>
      <c r="T1064" s="2"/>
      <c r="U1064" s="8">
        <f t="shared" si="132"/>
        <v>0</v>
      </c>
      <c r="V1064" s="8"/>
      <c r="W1064" s="8"/>
      <c r="X1064" s="8"/>
      <c r="Y1064" s="8"/>
      <c r="Z1064" s="8"/>
      <c r="AA1064" s="8"/>
      <c r="AB1064" s="8"/>
      <c r="AC1064" s="8">
        <f t="shared" si="133"/>
        <v>0</v>
      </c>
      <c r="AD1064" s="8"/>
      <c r="AE1064" s="8"/>
      <c r="AF1064" s="8"/>
      <c r="AG1064" s="8"/>
      <c r="AH1064" s="8"/>
      <c r="AI1064" s="8"/>
      <c r="AJ1064" s="8"/>
      <c r="AK1064" s="8"/>
      <c r="AL1064" s="8"/>
      <c r="AM1064" s="8"/>
      <c r="AN1064" s="8"/>
      <c r="AO1064" s="8"/>
      <c r="AP1064" s="8"/>
      <c r="AQ1064" s="8"/>
      <c r="AR1064" s="8"/>
      <c r="AS1064" s="8"/>
      <c r="AT1064" s="8"/>
      <c r="AU1064" s="8"/>
      <c r="AV1064" s="8"/>
      <c r="AW1064" s="8"/>
      <c r="AX1064" s="8"/>
      <c r="AY1064" s="8">
        <v>33236615</v>
      </c>
      <c r="AZ1064" s="8"/>
      <c r="BA1064" s="8">
        <f>VLOOKUP(B1064,[1]Hoja3!J$3:K$674,2,0)</f>
        <v>75458308</v>
      </c>
      <c r="BB1064" s="8"/>
      <c r="BC1064" s="8">
        <f t="shared" si="134"/>
        <v>108694923</v>
      </c>
      <c r="BD1064" s="4">
        <v>33236615</v>
      </c>
      <c r="BE1064" s="4">
        <f t="shared" si="135"/>
        <v>75458308</v>
      </c>
      <c r="BF1064" s="30">
        <f t="shared" si="136"/>
        <v>108694923</v>
      </c>
      <c r="BG1064" s="18">
        <f t="shared" si="137"/>
        <v>0</v>
      </c>
      <c r="BH1064" s="23"/>
      <c r="BI1064" s="23"/>
      <c r="BJ1064" s="23"/>
    </row>
    <row r="1065" spans="1:66" ht="15" customHeight="1" x14ac:dyDescent="0.2">
      <c r="A1065" s="1">
        <v>8000996315</v>
      </c>
      <c r="B1065" s="1">
        <v>800099631</v>
      </c>
      <c r="C1065" s="15">
        <v>214215842</v>
      </c>
      <c r="D1065" s="16" t="s">
        <v>332</v>
      </c>
      <c r="E1065" s="41" t="s">
        <v>1363</v>
      </c>
      <c r="F1065" s="28"/>
      <c r="G1065" s="17"/>
      <c r="H1065" s="3"/>
      <c r="I1065" s="2"/>
      <c r="J1065" s="29"/>
      <c r="K1065" s="3"/>
      <c r="L1065" s="17"/>
      <c r="M1065" s="34"/>
      <c r="N1065" s="3"/>
      <c r="O1065" s="17"/>
      <c r="P1065" s="3"/>
      <c r="Q1065" s="2"/>
      <c r="R1065" s="3"/>
      <c r="S1065" s="3"/>
      <c r="T1065" s="17"/>
      <c r="U1065" s="8">
        <f t="shared" si="132"/>
        <v>0</v>
      </c>
      <c r="V1065" s="8"/>
      <c r="W1065" s="8"/>
      <c r="X1065" s="8"/>
      <c r="Y1065" s="8"/>
      <c r="Z1065" s="8"/>
      <c r="AA1065" s="8"/>
      <c r="AB1065" s="8"/>
      <c r="AC1065" s="8">
        <f t="shared" si="133"/>
        <v>0</v>
      </c>
      <c r="AD1065" s="8"/>
      <c r="AE1065" s="8"/>
      <c r="AF1065" s="8"/>
      <c r="AG1065" s="8"/>
      <c r="AH1065" s="8"/>
      <c r="AI1065" s="8"/>
      <c r="AJ1065" s="8"/>
      <c r="AK1065" s="8"/>
      <c r="AL1065" s="8"/>
      <c r="AM1065" s="8"/>
      <c r="AN1065" s="8"/>
      <c r="AO1065" s="8"/>
      <c r="AP1065" s="8"/>
      <c r="AQ1065" s="8"/>
      <c r="AR1065" s="8"/>
      <c r="AS1065" s="8"/>
      <c r="AT1065" s="8"/>
      <c r="AU1065" s="8"/>
      <c r="AV1065" s="8"/>
      <c r="AW1065" s="8"/>
      <c r="AX1065" s="8"/>
      <c r="AY1065" s="8">
        <v>58616700</v>
      </c>
      <c r="AZ1065" s="8"/>
      <c r="BA1065" s="8">
        <f>VLOOKUP(B1065,[1]Hoja3!J$3:K$674,2,0)</f>
        <v>115871514</v>
      </c>
      <c r="BB1065" s="8"/>
      <c r="BC1065" s="8">
        <f t="shared" si="134"/>
        <v>174488214</v>
      </c>
      <c r="BD1065" s="4">
        <v>58616700</v>
      </c>
      <c r="BE1065" s="4">
        <f t="shared" si="135"/>
        <v>115871514</v>
      </c>
      <c r="BF1065" s="30">
        <f t="shared" si="136"/>
        <v>174488214</v>
      </c>
      <c r="BG1065" s="18">
        <f t="shared" si="137"/>
        <v>0</v>
      </c>
      <c r="BH1065" s="23"/>
      <c r="BI1065" s="14"/>
      <c r="BJ1065" s="14"/>
      <c r="BK1065" s="14"/>
      <c r="BL1065" s="14"/>
      <c r="BM1065" s="14"/>
      <c r="BN1065" s="14"/>
    </row>
    <row r="1066" spans="1:66" ht="15" customHeight="1" x14ac:dyDescent="0.2">
      <c r="A1066" s="1">
        <v>8999993881</v>
      </c>
      <c r="B1066" s="1">
        <v>899999388</v>
      </c>
      <c r="C1066" s="15">
        <v>214525845</v>
      </c>
      <c r="D1066" s="16" t="s">
        <v>557</v>
      </c>
      <c r="E1066" s="41" t="s">
        <v>2075</v>
      </c>
      <c r="F1066" s="28"/>
      <c r="G1066" s="2"/>
      <c r="H1066" s="3"/>
      <c r="I1066" s="2"/>
      <c r="J1066" s="29"/>
      <c r="K1066" s="3"/>
      <c r="L1066" s="2"/>
      <c r="M1066" s="8"/>
      <c r="N1066" s="3"/>
      <c r="O1066" s="2"/>
      <c r="P1066" s="3"/>
      <c r="Q1066" s="2"/>
      <c r="R1066" s="3"/>
      <c r="S1066" s="3"/>
      <c r="T1066" s="2"/>
      <c r="U1066" s="8">
        <f t="shared" si="132"/>
        <v>0</v>
      </c>
      <c r="V1066" s="8"/>
      <c r="W1066" s="8"/>
      <c r="X1066" s="8"/>
      <c r="Y1066" s="8"/>
      <c r="Z1066" s="8"/>
      <c r="AA1066" s="8"/>
      <c r="AB1066" s="8"/>
      <c r="AC1066" s="8">
        <f t="shared" si="133"/>
        <v>0</v>
      </c>
      <c r="AD1066" s="8"/>
      <c r="AE1066" s="8"/>
      <c r="AF1066" s="8"/>
      <c r="AG1066" s="8"/>
      <c r="AH1066" s="8"/>
      <c r="AI1066" s="8"/>
      <c r="AJ1066" s="8"/>
      <c r="AK1066" s="8"/>
      <c r="AL1066" s="8"/>
      <c r="AM1066" s="8">
        <v>95696470</v>
      </c>
      <c r="AN1066" s="8">
        <f t="shared" ref="AN1066:AN1072" si="139">SUBTOTAL(9,AC1066:AM1066)</f>
        <v>95696470</v>
      </c>
      <c r="AO1066" s="8"/>
      <c r="AP1066" s="8"/>
      <c r="AQ1066" s="8"/>
      <c r="AR1066" s="8"/>
      <c r="AS1066" s="8"/>
      <c r="AT1066" s="8"/>
      <c r="AU1066" s="8"/>
      <c r="AV1066" s="8"/>
      <c r="AW1066" s="8"/>
      <c r="AX1066" s="8"/>
      <c r="AY1066" s="8">
        <v>44791515</v>
      </c>
      <c r="AZ1066" s="8"/>
      <c r="BA1066" s="8"/>
      <c r="BB1066" s="8"/>
      <c r="BC1066" s="8">
        <f t="shared" si="134"/>
        <v>140487985</v>
      </c>
      <c r="BD1066" s="4">
        <v>44791515</v>
      </c>
      <c r="BE1066" s="4">
        <f t="shared" si="135"/>
        <v>95696470</v>
      </c>
      <c r="BF1066" s="30">
        <f t="shared" si="136"/>
        <v>140487985</v>
      </c>
      <c r="BG1066" s="18">
        <f t="shared" si="137"/>
        <v>0</v>
      </c>
      <c r="BH1066" s="23"/>
      <c r="BI1066" s="23"/>
      <c r="BJ1066" s="23"/>
    </row>
    <row r="1067" spans="1:66" ht="15" customHeight="1" x14ac:dyDescent="0.2">
      <c r="A1067" s="1">
        <v>8916801964</v>
      </c>
      <c r="B1067" s="1">
        <v>891680196</v>
      </c>
      <c r="C1067" s="15">
        <v>210027800</v>
      </c>
      <c r="D1067" s="16" t="s">
        <v>591</v>
      </c>
      <c r="E1067" s="41" t="s">
        <v>1613</v>
      </c>
      <c r="F1067" s="28"/>
      <c r="G1067" s="2"/>
      <c r="H1067" s="3"/>
      <c r="I1067" s="2"/>
      <c r="J1067" s="29"/>
      <c r="K1067" s="3"/>
      <c r="L1067" s="2"/>
      <c r="M1067" s="8"/>
      <c r="N1067" s="3"/>
      <c r="O1067" s="2"/>
      <c r="P1067" s="3"/>
      <c r="Q1067" s="2"/>
      <c r="R1067" s="3"/>
      <c r="S1067" s="3"/>
      <c r="T1067" s="2"/>
      <c r="U1067" s="8">
        <f t="shared" si="132"/>
        <v>0</v>
      </c>
      <c r="V1067" s="8"/>
      <c r="W1067" s="8"/>
      <c r="X1067" s="8"/>
      <c r="Y1067" s="8"/>
      <c r="Z1067" s="8"/>
      <c r="AA1067" s="8"/>
      <c r="AB1067" s="8"/>
      <c r="AC1067" s="8">
        <f t="shared" si="133"/>
        <v>0</v>
      </c>
      <c r="AD1067" s="8"/>
      <c r="AE1067" s="8"/>
      <c r="AF1067" s="8"/>
      <c r="AG1067" s="8"/>
      <c r="AH1067" s="8"/>
      <c r="AI1067" s="8"/>
      <c r="AJ1067" s="8"/>
      <c r="AK1067" s="8"/>
      <c r="AL1067" s="8"/>
      <c r="AM1067" s="8">
        <v>247839748</v>
      </c>
      <c r="AN1067" s="8">
        <f t="shared" si="139"/>
        <v>247839748</v>
      </c>
      <c r="AO1067" s="8"/>
      <c r="AP1067" s="8"/>
      <c r="AQ1067" s="8"/>
      <c r="AR1067" s="8"/>
      <c r="AS1067" s="8"/>
      <c r="AT1067" s="8"/>
      <c r="AU1067" s="8"/>
      <c r="AV1067" s="8"/>
      <c r="AW1067" s="8"/>
      <c r="AX1067" s="8"/>
      <c r="AY1067" s="8"/>
      <c r="AZ1067" s="8"/>
      <c r="BA1067" s="8"/>
      <c r="BB1067" s="8"/>
      <c r="BC1067" s="8">
        <f t="shared" si="134"/>
        <v>247839748</v>
      </c>
      <c r="BD1067" s="4"/>
      <c r="BE1067" s="4">
        <f t="shared" si="135"/>
        <v>247839748</v>
      </c>
      <c r="BF1067" s="30">
        <f t="shared" si="136"/>
        <v>247839748</v>
      </c>
      <c r="BG1067" s="18">
        <f t="shared" si="137"/>
        <v>0</v>
      </c>
      <c r="BH1067" s="23"/>
      <c r="BI1067" s="23"/>
      <c r="BJ1067" s="23"/>
    </row>
    <row r="1068" spans="1:66" ht="15" customHeight="1" x14ac:dyDescent="0.2">
      <c r="A1068" s="1">
        <v>8906800084</v>
      </c>
      <c r="B1068" s="1">
        <v>890680008</v>
      </c>
      <c r="C1068" s="15">
        <v>219025290</v>
      </c>
      <c r="D1068" s="16" t="s">
        <v>2167</v>
      </c>
      <c r="E1068" s="53" t="s">
        <v>1043</v>
      </c>
      <c r="F1068" s="28"/>
      <c r="G1068" s="2"/>
      <c r="H1068" s="3"/>
      <c r="I1068" s="39">
        <f>2731725207+89232918</f>
        <v>2820958125</v>
      </c>
      <c r="J1068" s="29">
        <v>197213198</v>
      </c>
      <c r="K1068" s="3">
        <v>390744693</v>
      </c>
      <c r="L1068" s="2"/>
      <c r="M1068" s="37">
        <f>SUM(F1068:L1068)</f>
        <v>3408916016</v>
      </c>
      <c r="N1068" s="3"/>
      <c r="O1068" s="2"/>
      <c r="P1068" s="3"/>
      <c r="Q1068" s="2">
        <f>2594904169+40560417</f>
        <v>2635464586</v>
      </c>
      <c r="R1068" s="3">
        <v>197213198</v>
      </c>
      <c r="S1068" s="3">
        <f>193531495+197213198</f>
        <v>390744693</v>
      </c>
      <c r="T1068" s="2"/>
      <c r="U1068" s="8">
        <f t="shared" si="132"/>
        <v>6632338493</v>
      </c>
      <c r="V1068" s="8"/>
      <c r="W1068" s="8"/>
      <c r="X1068" s="8"/>
      <c r="Y1068" s="8">
        <v>3433815669</v>
      </c>
      <c r="Z1068" s="8">
        <v>216493604</v>
      </c>
      <c r="AA1068" s="8">
        <v>427145476</v>
      </c>
      <c r="AB1068" s="8"/>
      <c r="AC1068" s="8">
        <f t="shared" si="133"/>
        <v>10709793242</v>
      </c>
      <c r="AD1068" s="8"/>
      <c r="AE1068" s="8"/>
      <c r="AF1068" s="8"/>
      <c r="AG1068" s="8"/>
      <c r="AH1068" s="8">
        <v>2640212833</v>
      </c>
      <c r="AI1068" s="8">
        <v>412375783</v>
      </c>
      <c r="AJ1068" s="8">
        <v>197794356</v>
      </c>
      <c r="AK1068" s="8">
        <v>498428595</v>
      </c>
      <c r="AL1068" s="8"/>
      <c r="AM1068" s="8">
        <v>1247312458</v>
      </c>
      <c r="AN1068" s="8">
        <f t="shared" si="139"/>
        <v>15705917267</v>
      </c>
      <c r="AO1068" s="8"/>
      <c r="AP1068" s="8"/>
      <c r="AQ1068" s="8">
        <v>428995335</v>
      </c>
      <c r="AR1068" s="8"/>
      <c r="AS1068" s="8"/>
      <c r="AT1068" s="8">
        <v>2640212833</v>
      </c>
      <c r="AU1068" s="8"/>
      <c r="AV1068" s="8">
        <v>197794356</v>
      </c>
      <c r="AW1068" s="8">
        <v>337599761</v>
      </c>
      <c r="AX1068" s="8"/>
      <c r="AY1068" s="8"/>
      <c r="AZ1068" s="8">
        <v>243423860</v>
      </c>
      <c r="BA1068" s="8"/>
      <c r="BB1068" s="8"/>
      <c r="BC1068" s="8">
        <f t="shared" si="134"/>
        <v>19553943412</v>
      </c>
      <c r="BD1068" s="4">
        <v>18306630954</v>
      </c>
      <c r="BE1068" s="4">
        <f t="shared" si="135"/>
        <v>1247312458</v>
      </c>
      <c r="BF1068" s="30">
        <f t="shared" si="136"/>
        <v>19553943412</v>
      </c>
      <c r="BG1068" s="18">
        <f t="shared" si="137"/>
        <v>0</v>
      </c>
      <c r="BH1068" s="23"/>
      <c r="BI1068" s="23"/>
      <c r="BJ1068" s="23"/>
    </row>
    <row r="1069" spans="1:66" ht="15" customHeight="1" x14ac:dyDescent="0.2">
      <c r="A1069" s="1">
        <v>8180009610</v>
      </c>
      <c r="B1069" s="1">
        <v>818000961</v>
      </c>
      <c r="C1069" s="15">
        <v>211027810</v>
      </c>
      <c r="D1069" s="16" t="s">
        <v>592</v>
      </c>
      <c r="E1069" s="41" t="s">
        <v>1614</v>
      </c>
      <c r="F1069" s="28"/>
      <c r="G1069" s="2"/>
      <c r="H1069" s="3"/>
      <c r="I1069" s="2"/>
      <c r="J1069" s="29"/>
      <c r="K1069" s="3"/>
      <c r="L1069" s="2"/>
      <c r="M1069" s="8"/>
      <c r="N1069" s="3"/>
      <c r="O1069" s="2"/>
      <c r="P1069" s="3"/>
      <c r="Q1069" s="2"/>
      <c r="R1069" s="3"/>
      <c r="S1069" s="3"/>
      <c r="T1069" s="2"/>
      <c r="U1069" s="8">
        <f t="shared" si="132"/>
        <v>0</v>
      </c>
      <c r="V1069" s="8"/>
      <c r="W1069" s="8"/>
      <c r="X1069" s="8"/>
      <c r="Y1069" s="8"/>
      <c r="Z1069" s="8"/>
      <c r="AA1069" s="8"/>
      <c r="AB1069" s="8"/>
      <c r="AC1069" s="8">
        <f t="shared" si="133"/>
        <v>0</v>
      </c>
      <c r="AD1069" s="8"/>
      <c r="AE1069" s="8"/>
      <c r="AF1069" s="8"/>
      <c r="AG1069" s="8"/>
      <c r="AH1069" s="8"/>
      <c r="AI1069" s="8"/>
      <c r="AJ1069" s="8"/>
      <c r="AK1069" s="8"/>
      <c r="AL1069" s="8"/>
      <c r="AM1069" s="8">
        <v>125139528</v>
      </c>
      <c r="AN1069" s="8">
        <f t="shared" si="139"/>
        <v>125139528</v>
      </c>
      <c r="AO1069" s="8"/>
      <c r="AP1069" s="8"/>
      <c r="AQ1069" s="8"/>
      <c r="AR1069" s="8"/>
      <c r="AS1069" s="8"/>
      <c r="AT1069" s="8"/>
      <c r="AU1069" s="8"/>
      <c r="AV1069" s="8"/>
      <c r="AW1069" s="8"/>
      <c r="AX1069" s="8"/>
      <c r="AY1069" s="8">
        <v>64427725</v>
      </c>
      <c r="AZ1069" s="8"/>
      <c r="BA1069" s="8"/>
      <c r="BB1069" s="8"/>
      <c r="BC1069" s="8">
        <f t="shared" si="134"/>
        <v>189567253</v>
      </c>
      <c r="BD1069" s="4">
        <v>64427725</v>
      </c>
      <c r="BE1069" s="4">
        <f t="shared" si="135"/>
        <v>125139528</v>
      </c>
      <c r="BF1069" s="30">
        <f t="shared" si="136"/>
        <v>189567253</v>
      </c>
      <c r="BG1069" s="18">
        <f t="shared" si="137"/>
        <v>0</v>
      </c>
      <c r="BH1069" s="23"/>
      <c r="BI1069" s="23"/>
      <c r="BJ1069" s="23"/>
    </row>
    <row r="1070" spans="1:66" ht="15" customHeight="1" x14ac:dyDescent="0.2">
      <c r="A1070" s="1">
        <v>8909845754</v>
      </c>
      <c r="B1070" s="1">
        <v>890984575</v>
      </c>
      <c r="C1070" s="15">
        <v>214205842</v>
      </c>
      <c r="D1070" s="16" t="s">
        <v>149</v>
      </c>
      <c r="E1070" s="41" t="s">
        <v>1178</v>
      </c>
      <c r="F1070" s="28"/>
      <c r="G1070" s="2"/>
      <c r="H1070" s="3"/>
      <c r="I1070" s="2"/>
      <c r="J1070" s="29"/>
      <c r="K1070" s="3"/>
      <c r="L1070" s="2"/>
      <c r="M1070" s="8"/>
      <c r="N1070" s="3"/>
      <c r="O1070" s="2"/>
      <c r="P1070" s="3"/>
      <c r="Q1070" s="2"/>
      <c r="R1070" s="3"/>
      <c r="S1070" s="3"/>
      <c r="T1070" s="2"/>
      <c r="U1070" s="8">
        <f t="shared" si="132"/>
        <v>0</v>
      </c>
      <c r="V1070" s="8"/>
      <c r="W1070" s="8"/>
      <c r="X1070" s="8"/>
      <c r="Y1070" s="8"/>
      <c r="Z1070" s="8"/>
      <c r="AA1070" s="8"/>
      <c r="AB1070" s="8"/>
      <c r="AC1070" s="8">
        <f t="shared" si="133"/>
        <v>0</v>
      </c>
      <c r="AD1070" s="8"/>
      <c r="AE1070" s="8"/>
      <c r="AF1070" s="8"/>
      <c r="AG1070" s="8"/>
      <c r="AH1070" s="8"/>
      <c r="AI1070" s="8"/>
      <c r="AJ1070" s="8"/>
      <c r="AK1070" s="8"/>
      <c r="AL1070" s="8"/>
      <c r="AM1070" s="8">
        <v>114018837</v>
      </c>
      <c r="AN1070" s="8">
        <f t="shared" si="139"/>
        <v>114018837</v>
      </c>
      <c r="AO1070" s="8"/>
      <c r="AP1070" s="8"/>
      <c r="AQ1070" s="8"/>
      <c r="AR1070" s="8"/>
      <c r="AS1070" s="8"/>
      <c r="AT1070" s="8"/>
      <c r="AU1070" s="8"/>
      <c r="AV1070" s="8"/>
      <c r="AW1070" s="8"/>
      <c r="AX1070" s="8"/>
      <c r="AY1070" s="8">
        <v>71429765</v>
      </c>
      <c r="AZ1070" s="8"/>
      <c r="BA1070" s="8"/>
      <c r="BB1070" s="8"/>
      <c r="BC1070" s="8">
        <f t="shared" si="134"/>
        <v>185448602</v>
      </c>
      <c r="BD1070" s="4">
        <v>71429765</v>
      </c>
      <c r="BE1070" s="4">
        <f t="shared" si="135"/>
        <v>114018837</v>
      </c>
      <c r="BF1070" s="30">
        <f t="shared" si="136"/>
        <v>185448602</v>
      </c>
      <c r="BG1070" s="18">
        <f t="shared" si="137"/>
        <v>0</v>
      </c>
      <c r="BH1070" s="23"/>
      <c r="BI1070" s="23"/>
      <c r="BJ1070" s="23"/>
    </row>
    <row r="1071" spans="1:66" ht="15" customHeight="1" x14ac:dyDescent="0.2">
      <c r="A1071" s="1">
        <v>8921151554</v>
      </c>
      <c r="B1071" s="1">
        <v>892115155</v>
      </c>
      <c r="C1071" s="15">
        <v>214744847</v>
      </c>
      <c r="D1071" s="16" t="s">
        <v>2201</v>
      </c>
      <c r="E1071" s="53" t="s">
        <v>1070</v>
      </c>
      <c r="F1071" s="28"/>
      <c r="G1071" s="17"/>
      <c r="H1071" s="3"/>
      <c r="I1071" s="2">
        <f>2278747717+294227763</f>
        <v>2572975480</v>
      </c>
      <c r="J1071" s="29">
        <v>179254019</v>
      </c>
      <c r="K1071" s="3">
        <v>369181765</v>
      </c>
      <c r="L1071" s="17"/>
      <c r="M1071" s="7">
        <f>SUM(F1071:L1071)</f>
        <v>3121411264</v>
      </c>
      <c r="N1071" s="3"/>
      <c r="O1071" s="17"/>
      <c r="P1071" s="3"/>
      <c r="Q1071" s="2">
        <f>2437120901+558984276</f>
        <v>2996105177</v>
      </c>
      <c r="R1071" s="3">
        <v>179356618</v>
      </c>
      <c r="S1071" s="3">
        <f>189927746+179356618</f>
        <v>369284364</v>
      </c>
      <c r="T1071" s="17"/>
      <c r="U1071" s="8">
        <f t="shared" si="132"/>
        <v>6666157423</v>
      </c>
      <c r="V1071" s="8"/>
      <c r="W1071" s="8"/>
      <c r="X1071" s="8"/>
      <c r="Y1071" s="8">
        <f>5289036688+3000000000</f>
        <v>8289036688</v>
      </c>
      <c r="Z1071" s="8">
        <v>40389512</v>
      </c>
      <c r="AA1071" s="8">
        <v>117209428</v>
      </c>
      <c r="AB1071" s="8"/>
      <c r="AC1071" s="8">
        <f t="shared" si="133"/>
        <v>15112793051</v>
      </c>
      <c r="AD1071" s="8"/>
      <c r="AE1071" s="8"/>
      <c r="AF1071" s="8"/>
      <c r="AG1071" s="8"/>
      <c r="AH1071" s="8">
        <v>3529006523</v>
      </c>
      <c r="AI1071" s="8">
        <v>3969939467</v>
      </c>
      <c r="AJ1071" s="8">
        <v>134011707</v>
      </c>
      <c r="AK1071" s="8">
        <v>346074171</v>
      </c>
      <c r="AL1071" s="8"/>
      <c r="AM1071" s="8">
        <v>240731451</v>
      </c>
      <c r="AN1071" s="8">
        <f t="shared" si="139"/>
        <v>23332556370</v>
      </c>
      <c r="AO1071" s="8"/>
      <c r="AP1071" s="8"/>
      <c r="AQ1071" s="8">
        <v>2523101600</v>
      </c>
      <c r="AR1071" s="8"/>
      <c r="AS1071" s="8"/>
      <c r="AT1071" s="8">
        <v>3529006523</v>
      </c>
      <c r="AU1071" s="8">
        <v>1472557236</v>
      </c>
      <c r="AV1071" s="8">
        <v>134011707</v>
      </c>
      <c r="AW1071" s="8">
        <v>236706965</v>
      </c>
      <c r="AX1071" s="8"/>
      <c r="AY1071" s="8"/>
      <c r="AZ1071" s="8">
        <v>2807431074</v>
      </c>
      <c r="BA1071" s="8"/>
      <c r="BB1071" s="8"/>
      <c r="BC1071" s="8">
        <f t="shared" si="134"/>
        <v>34035371475</v>
      </c>
      <c r="BD1071" s="4">
        <v>33794640024</v>
      </c>
      <c r="BE1071" s="4">
        <f t="shared" si="135"/>
        <v>240731451</v>
      </c>
      <c r="BF1071" s="30">
        <f t="shared" si="136"/>
        <v>34035371475</v>
      </c>
      <c r="BG1071" s="18">
        <f t="shared" si="137"/>
        <v>0</v>
      </c>
      <c r="BH1071" s="23"/>
      <c r="BI1071" s="14"/>
      <c r="BJ1071" s="14"/>
      <c r="BK1071" s="14"/>
      <c r="BL1071" s="14"/>
      <c r="BM1071" s="14"/>
      <c r="BN1071" s="14"/>
    </row>
    <row r="1072" spans="1:66" ht="15" customHeight="1" x14ac:dyDescent="0.2">
      <c r="A1072" s="1">
        <v>8909075154</v>
      </c>
      <c r="B1072" s="1">
        <v>890907515</v>
      </c>
      <c r="C1072" s="15">
        <v>214705847</v>
      </c>
      <c r="D1072" s="16" t="s">
        <v>150</v>
      </c>
      <c r="E1072" s="41" t="s">
        <v>1179</v>
      </c>
      <c r="F1072" s="28"/>
      <c r="G1072" s="2"/>
      <c r="H1072" s="3"/>
      <c r="I1072" s="2"/>
      <c r="J1072" s="29"/>
      <c r="K1072" s="3"/>
      <c r="L1072" s="2"/>
      <c r="M1072" s="8"/>
      <c r="N1072" s="3"/>
      <c r="O1072" s="2"/>
      <c r="P1072" s="3"/>
      <c r="Q1072" s="2"/>
      <c r="R1072" s="3"/>
      <c r="S1072" s="3"/>
      <c r="T1072" s="2"/>
      <c r="U1072" s="8">
        <f t="shared" si="132"/>
        <v>0</v>
      </c>
      <c r="V1072" s="8"/>
      <c r="W1072" s="8"/>
      <c r="X1072" s="8"/>
      <c r="Y1072" s="8"/>
      <c r="Z1072" s="8"/>
      <c r="AA1072" s="8"/>
      <c r="AB1072" s="8"/>
      <c r="AC1072" s="8">
        <f t="shared" si="133"/>
        <v>0</v>
      </c>
      <c r="AD1072" s="8"/>
      <c r="AE1072" s="8"/>
      <c r="AF1072" s="8"/>
      <c r="AG1072" s="8"/>
      <c r="AH1072" s="8"/>
      <c r="AI1072" s="8"/>
      <c r="AJ1072" s="8"/>
      <c r="AK1072" s="8"/>
      <c r="AL1072" s="8"/>
      <c r="AM1072" s="8">
        <v>487482501</v>
      </c>
      <c r="AN1072" s="8">
        <f t="shared" si="139"/>
        <v>487482501</v>
      </c>
      <c r="AO1072" s="8"/>
      <c r="AP1072" s="8"/>
      <c r="AQ1072" s="8"/>
      <c r="AR1072" s="8"/>
      <c r="AS1072" s="8"/>
      <c r="AT1072" s="8"/>
      <c r="AU1072" s="8"/>
      <c r="AV1072" s="8"/>
      <c r="AW1072" s="8"/>
      <c r="AX1072" s="8"/>
      <c r="AY1072" s="8">
        <v>238674975</v>
      </c>
      <c r="AZ1072" s="8"/>
      <c r="BA1072" s="8"/>
      <c r="BB1072" s="8"/>
      <c r="BC1072" s="8">
        <f t="shared" si="134"/>
        <v>726157476</v>
      </c>
      <c r="BD1072" s="4">
        <v>238674975</v>
      </c>
      <c r="BE1072" s="4">
        <f t="shared" si="135"/>
        <v>487482501</v>
      </c>
      <c r="BF1072" s="30">
        <f t="shared" si="136"/>
        <v>726157476</v>
      </c>
      <c r="BG1072" s="18">
        <f t="shared" si="137"/>
        <v>0</v>
      </c>
      <c r="BH1072" s="23"/>
      <c r="BI1072" s="23"/>
      <c r="BJ1072" s="23"/>
    </row>
    <row r="1073" spans="1:66" ht="15" customHeight="1" x14ac:dyDescent="0.2">
      <c r="A1073" s="1">
        <v>8000594056</v>
      </c>
      <c r="B1073" s="1">
        <v>800059405</v>
      </c>
      <c r="C1073" s="15">
        <v>215544855</v>
      </c>
      <c r="D1073" s="16" t="s">
        <v>638</v>
      </c>
      <c r="E1073" s="41" t="s">
        <v>1658</v>
      </c>
      <c r="F1073" s="28"/>
      <c r="G1073" s="2"/>
      <c r="H1073" s="3"/>
      <c r="I1073" s="2"/>
      <c r="J1073" s="29"/>
      <c r="K1073" s="3"/>
      <c r="L1073" s="2"/>
      <c r="M1073" s="8"/>
      <c r="N1073" s="3"/>
      <c r="O1073" s="2"/>
      <c r="P1073" s="3"/>
      <c r="Q1073" s="2"/>
      <c r="R1073" s="3"/>
      <c r="S1073" s="3"/>
      <c r="T1073" s="2"/>
      <c r="U1073" s="8">
        <f t="shared" si="132"/>
        <v>0</v>
      </c>
      <c r="V1073" s="8"/>
      <c r="W1073" s="8"/>
      <c r="X1073" s="8"/>
      <c r="Y1073" s="8"/>
      <c r="Z1073" s="8"/>
      <c r="AA1073" s="8"/>
      <c r="AB1073" s="8"/>
      <c r="AC1073" s="8">
        <f t="shared" si="133"/>
        <v>0</v>
      </c>
      <c r="AD1073" s="8"/>
      <c r="AE1073" s="8"/>
      <c r="AF1073" s="8"/>
      <c r="AG1073" s="8"/>
      <c r="AH1073" s="8"/>
      <c r="AI1073" s="8"/>
      <c r="AJ1073" s="8"/>
      <c r="AK1073" s="8"/>
      <c r="AL1073" s="8"/>
      <c r="AM1073" s="8"/>
      <c r="AN1073" s="8"/>
      <c r="AO1073" s="8"/>
      <c r="AP1073" s="8"/>
      <c r="AQ1073" s="8"/>
      <c r="AR1073" s="8"/>
      <c r="AS1073" s="8"/>
      <c r="AT1073" s="8"/>
      <c r="AU1073" s="8"/>
      <c r="AV1073" s="8"/>
      <c r="AW1073" s="8"/>
      <c r="AX1073" s="8"/>
      <c r="AY1073" s="8"/>
      <c r="AZ1073" s="8"/>
      <c r="BA1073" s="8">
        <f>VLOOKUP(B1073,[1]Hoja3!J$3:K$674,2,0)</f>
        <v>149160432</v>
      </c>
      <c r="BB1073" s="8"/>
      <c r="BC1073" s="8">
        <f t="shared" si="134"/>
        <v>149160432</v>
      </c>
      <c r="BD1073" s="4"/>
      <c r="BE1073" s="4">
        <f t="shared" si="135"/>
        <v>149160432</v>
      </c>
      <c r="BF1073" s="30">
        <f t="shared" si="136"/>
        <v>149160432</v>
      </c>
      <c r="BG1073" s="18">
        <f t="shared" si="137"/>
        <v>0</v>
      </c>
      <c r="BH1073" s="23"/>
      <c r="BI1073" s="23"/>
      <c r="BJ1073" s="23"/>
    </row>
    <row r="1074" spans="1:66" ht="15" customHeight="1" x14ac:dyDescent="0.2">
      <c r="A1074" s="1">
        <v>8000943783</v>
      </c>
      <c r="B1074" s="1">
        <v>800094378</v>
      </c>
      <c r="C1074" s="15">
        <v>214908849</v>
      </c>
      <c r="D1074" s="16" t="s">
        <v>180</v>
      </c>
      <c r="E1074" s="41" t="s">
        <v>1209</v>
      </c>
      <c r="F1074" s="28"/>
      <c r="G1074" s="2"/>
      <c r="H1074" s="3"/>
      <c r="I1074" s="2"/>
      <c r="J1074" s="29"/>
      <c r="K1074" s="3"/>
      <c r="L1074" s="2"/>
      <c r="M1074" s="8"/>
      <c r="N1074" s="3"/>
      <c r="O1074" s="2"/>
      <c r="P1074" s="3"/>
      <c r="Q1074" s="2"/>
      <c r="R1074" s="3"/>
      <c r="S1074" s="3"/>
      <c r="T1074" s="2"/>
      <c r="U1074" s="8">
        <f t="shared" si="132"/>
        <v>0</v>
      </c>
      <c r="V1074" s="8"/>
      <c r="W1074" s="8"/>
      <c r="X1074" s="8"/>
      <c r="Y1074" s="8"/>
      <c r="Z1074" s="8"/>
      <c r="AA1074" s="8"/>
      <c r="AB1074" s="8"/>
      <c r="AC1074" s="8">
        <f t="shared" si="133"/>
        <v>0</v>
      </c>
      <c r="AD1074" s="8"/>
      <c r="AE1074" s="8"/>
      <c r="AF1074" s="8"/>
      <c r="AG1074" s="8"/>
      <c r="AH1074" s="8"/>
      <c r="AI1074" s="8"/>
      <c r="AJ1074" s="8"/>
      <c r="AK1074" s="8"/>
      <c r="AL1074" s="8"/>
      <c r="AM1074" s="8"/>
      <c r="AN1074" s="8"/>
      <c r="AO1074" s="8"/>
      <c r="AP1074" s="8"/>
      <c r="AQ1074" s="8"/>
      <c r="AR1074" s="8"/>
      <c r="AS1074" s="8"/>
      <c r="AT1074" s="8"/>
      <c r="AU1074" s="8"/>
      <c r="AV1074" s="8"/>
      <c r="AW1074" s="8"/>
      <c r="AX1074" s="8"/>
      <c r="AY1074" s="8">
        <v>61971710</v>
      </c>
      <c r="AZ1074" s="8"/>
      <c r="BA1074" s="8">
        <f>VLOOKUP(B1074,[1]Hoja3!J$3:K$674,2,0)</f>
        <v>117164688</v>
      </c>
      <c r="BB1074" s="8"/>
      <c r="BC1074" s="8">
        <f t="shared" si="134"/>
        <v>179136398</v>
      </c>
      <c r="BD1074" s="4">
        <v>61971710</v>
      </c>
      <c r="BE1074" s="4">
        <f t="shared" si="135"/>
        <v>117164688</v>
      </c>
      <c r="BF1074" s="30">
        <f t="shared" si="136"/>
        <v>179136398</v>
      </c>
      <c r="BG1074" s="18">
        <f t="shared" si="137"/>
        <v>0</v>
      </c>
      <c r="BH1074" s="23"/>
      <c r="BI1074" s="23"/>
      <c r="BJ1074" s="23"/>
    </row>
    <row r="1075" spans="1:66" ht="15" customHeight="1" x14ac:dyDescent="0.2">
      <c r="A1075" s="1">
        <v>8999994073</v>
      </c>
      <c r="B1075" s="1">
        <v>899999407</v>
      </c>
      <c r="C1075" s="15">
        <v>215125851</v>
      </c>
      <c r="D1075" s="16" t="s">
        <v>558</v>
      </c>
      <c r="E1075" s="41" t="s">
        <v>1578</v>
      </c>
      <c r="F1075" s="28"/>
      <c r="G1075" s="2"/>
      <c r="H1075" s="3"/>
      <c r="I1075" s="2"/>
      <c r="J1075" s="29"/>
      <c r="K1075" s="3"/>
      <c r="L1075" s="2"/>
      <c r="M1075" s="8"/>
      <c r="N1075" s="3"/>
      <c r="O1075" s="2"/>
      <c r="P1075" s="3"/>
      <c r="Q1075" s="2"/>
      <c r="R1075" s="3"/>
      <c r="S1075" s="3"/>
      <c r="T1075" s="2"/>
      <c r="U1075" s="8">
        <f t="shared" si="132"/>
        <v>0</v>
      </c>
      <c r="V1075" s="8"/>
      <c r="W1075" s="8"/>
      <c r="X1075" s="8"/>
      <c r="Y1075" s="8"/>
      <c r="Z1075" s="8"/>
      <c r="AA1075" s="8"/>
      <c r="AB1075" s="8"/>
      <c r="AC1075" s="8">
        <f t="shared" si="133"/>
        <v>0</v>
      </c>
      <c r="AD1075" s="8"/>
      <c r="AE1075" s="8"/>
      <c r="AF1075" s="8"/>
      <c r="AG1075" s="8"/>
      <c r="AH1075" s="8"/>
      <c r="AI1075" s="8"/>
      <c r="AJ1075" s="8"/>
      <c r="AK1075" s="8"/>
      <c r="AL1075" s="8"/>
      <c r="AM1075" s="8">
        <v>45357577</v>
      </c>
      <c r="AN1075" s="8">
        <f>SUBTOTAL(9,AC1075:AM1075)</f>
        <v>45357577</v>
      </c>
      <c r="AO1075" s="8"/>
      <c r="AP1075" s="8"/>
      <c r="AQ1075" s="8"/>
      <c r="AR1075" s="8"/>
      <c r="AS1075" s="8"/>
      <c r="AT1075" s="8"/>
      <c r="AU1075" s="8"/>
      <c r="AV1075" s="8"/>
      <c r="AW1075" s="8"/>
      <c r="AX1075" s="8"/>
      <c r="AY1075" s="8">
        <v>28191155</v>
      </c>
      <c r="AZ1075" s="8"/>
      <c r="BA1075" s="8"/>
      <c r="BB1075" s="8">
        <f>VLOOKUP(B1075,'[2]anuladas en mayo gratuidad}'!K$2:L$55,2,0)</f>
        <v>45357577</v>
      </c>
      <c r="BC1075" s="8">
        <f t="shared" si="134"/>
        <v>28191155</v>
      </c>
      <c r="BD1075" s="4">
        <v>28191155</v>
      </c>
      <c r="BE1075" s="4">
        <f t="shared" si="135"/>
        <v>0</v>
      </c>
      <c r="BF1075" s="30">
        <f t="shared" si="136"/>
        <v>28191155</v>
      </c>
      <c r="BG1075" s="18">
        <f t="shared" si="137"/>
        <v>0</v>
      </c>
      <c r="BH1075" s="23"/>
      <c r="BI1075" s="23"/>
      <c r="BJ1075" s="23"/>
    </row>
    <row r="1076" spans="1:66" ht="15" customHeight="1" x14ac:dyDescent="0.2">
      <c r="A1076" s="1">
        <v>8909811061</v>
      </c>
      <c r="B1076" s="1">
        <v>890981106</v>
      </c>
      <c r="C1076" s="15">
        <v>215405854</v>
      </c>
      <c r="D1076" s="16" t="s">
        <v>151</v>
      </c>
      <c r="E1076" s="41" t="s">
        <v>1180</v>
      </c>
      <c r="F1076" s="28"/>
      <c r="G1076" s="2"/>
      <c r="H1076" s="3"/>
      <c r="I1076" s="2"/>
      <c r="J1076" s="29"/>
      <c r="K1076" s="3"/>
      <c r="L1076" s="2"/>
      <c r="M1076" s="8"/>
      <c r="N1076" s="3"/>
      <c r="O1076" s="2"/>
      <c r="P1076" s="3"/>
      <c r="Q1076" s="2"/>
      <c r="R1076" s="3"/>
      <c r="S1076" s="3"/>
      <c r="T1076" s="2"/>
      <c r="U1076" s="8">
        <f t="shared" si="132"/>
        <v>0</v>
      </c>
      <c r="V1076" s="8"/>
      <c r="W1076" s="8"/>
      <c r="X1076" s="8"/>
      <c r="Y1076" s="8"/>
      <c r="Z1076" s="8"/>
      <c r="AA1076" s="8"/>
      <c r="AB1076" s="8"/>
      <c r="AC1076" s="8">
        <f t="shared" si="133"/>
        <v>0</v>
      </c>
      <c r="AD1076" s="8"/>
      <c r="AE1076" s="8"/>
      <c r="AF1076" s="8"/>
      <c r="AG1076" s="8"/>
      <c r="AH1076" s="8"/>
      <c r="AI1076" s="8"/>
      <c r="AJ1076" s="8"/>
      <c r="AK1076" s="8"/>
      <c r="AL1076" s="8"/>
      <c r="AM1076" s="8"/>
      <c r="AN1076" s="8"/>
      <c r="AO1076" s="8"/>
      <c r="AP1076" s="8"/>
      <c r="AQ1076" s="8"/>
      <c r="AR1076" s="8"/>
      <c r="AS1076" s="8"/>
      <c r="AT1076" s="8"/>
      <c r="AU1076" s="8"/>
      <c r="AV1076" s="8"/>
      <c r="AW1076" s="8"/>
      <c r="AX1076" s="8"/>
      <c r="AY1076" s="8">
        <v>145010885</v>
      </c>
      <c r="AZ1076" s="8"/>
      <c r="BA1076" s="8">
        <f>VLOOKUP(B1076,[1]Hoja3!J$3:K$674,2,0)</f>
        <v>260075606</v>
      </c>
      <c r="BB1076" s="8"/>
      <c r="BC1076" s="8">
        <f t="shared" si="134"/>
        <v>405086491</v>
      </c>
      <c r="BD1076" s="4">
        <v>145010885</v>
      </c>
      <c r="BE1076" s="4">
        <f t="shared" si="135"/>
        <v>260075606</v>
      </c>
      <c r="BF1076" s="30">
        <f t="shared" si="136"/>
        <v>405086491</v>
      </c>
      <c r="BG1076" s="18">
        <f t="shared" si="137"/>
        <v>0</v>
      </c>
      <c r="BH1076" s="23"/>
      <c r="BI1076" s="23"/>
      <c r="BJ1076" s="23"/>
    </row>
    <row r="1077" spans="1:66" ht="15" customHeight="1" x14ac:dyDescent="0.2">
      <c r="A1077" s="1">
        <v>8000968088</v>
      </c>
      <c r="B1077" s="1">
        <v>800096808</v>
      </c>
      <c r="C1077" s="15">
        <v>215523855</v>
      </c>
      <c r="D1077" s="16" t="s">
        <v>459</v>
      </c>
      <c r="E1077" s="41" t="s">
        <v>1486</v>
      </c>
      <c r="F1077" s="28"/>
      <c r="G1077" s="2"/>
      <c r="H1077" s="3"/>
      <c r="I1077" s="2"/>
      <c r="J1077" s="29"/>
      <c r="K1077" s="3"/>
      <c r="L1077" s="2"/>
      <c r="M1077" s="8"/>
      <c r="N1077" s="3"/>
      <c r="O1077" s="2"/>
      <c r="P1077" s="3"/>
      <c r="Q1077" s="2"/>
      <c r="R1077" s="3"/>
      <c r="S1077" s="3"/>
      <c r="T1077" s="2"/>
      <c r="U1077" s="8">
        <f t="shared" si="132"/>
        <v>0</v>
      </c>
      <c r="V1077" s="8"/>
      <c r="W1077" s="8"/>
      <c r="X1077" s="8"/>
      <c r="Y1077" s="8"/>
      <c r="Z1077" s="8"/>
      <c r="AA1077" s="8"/>
      <c r="AB1077" s="8"/>
      <c r="AC1077" s="8">
        <f t="shared" si="133"/>
        <v>0</v>
      </c>
      <c r="AD1077" s="8"/>
      <c r="AE1077" s="8"/>
      <c r="AF1077" s="8"/>
      <c r="AG1077" s="8"/>
      <c r="AH1077" s="8"/>
      <c r="AI1077" s="8"/>
      <c r="AJ1077" s="8"/>
      <c r="AK1077" s="8"/>
      <c r="AL1077" s="8"/>
      <c r="AM1077" s="8">
        <v>463837804</v>
      </c>
      <c r="AN1077" s="8">
        <f>SUBTOTAL(9,AC1077:AM1077)</f>
        <v>463837804</v>
      </c>
      <c r="AO1077" s="8"/>
      <c r="AP1077" s="8"/>
      <c r="AQ1077" s="8"/>
      <c r="AR1077" s="8"/>
      <c r="AS1077" s="8"/>
      <c r="AT1077" s="8"/>
      <c r="AU1077" s="8"/>
      <c r="AV1077" s="8"/>
      <c r="AW1077" s="8"/>
      <c r="AX1077" s="8"/>
      <c r="AY1077" s="8">
        <v>498408475</v>
      </c>
      <c r="AZ1077" s="8"/>
      <c r="BA1077" s="8"/>
      <c r="BB1077" s="8"/>
      <c r="BC1077" s="8">
        <f t="shared" si="134"/>
        <v>962246279</v>
      </c>
      <c r="BD1077" s="4">
        <v>498408475</v>
      </c>
      <c r="BE1077" s="4">
        <f t="shared" si="135"/>
        <v>463837804</v>
      </c>
      <c r="BF1077" s="30">
        <f t="shared" si="136"/>
        <v>962246279</v>
      </c>
      <c r="BG1077" s="18">
        <f t="shared" si="137"/>
        <v>0</v>
      </c>
      <c r="BH1077" s="23"/>
      <c r="BI1077" s="23"/>
      <c r="BJ1077" s="23"/>
    </row>
    <row r="1078" spans="1:66" ht="15" customHeight="1" x14ac:dyDescent="0.2">
      <c r="A1078" s="1">
        <v>8001001436</v>
      </c>
      <c r="B1078" s="1">
        <v>800100143</v>
      </c>
      <c r="C1078" s="15">
        <v>215473854</v>
      </c>
      <c r="D1078" s="16" t="s">
        <v>2243</v>
      </c>
      <c r="E1078" s="41" t="s">
        <v>1970</v>
      </c>
      <c r="F1078" s="28"/>
      <c r="G1078" s="2"/>
      <c r="H1078" s="3"/>
      <c r="I1078" s="2"/>
      <c r="J1078" s="29"/>
      <c r="K1078" s="3"/>
      <c r="L1078" s="2"/>
      <c r="M1078" s="8"/>
      <c r="N1078" s="3"/>
      <c r="O1078" s="2"/>
      <c r="P1078" s="3"/>
      <c r="Q1078" s="2"/>
      <c r="R1078" s="3"/>
      <c r="S1078" s="3"/>
      <c r="T1078" s="2"/>
      <c r="U1078" s="8">
        <f t="shared" si="132"/>
        <v>0</v>
      </c>
      <c r="V1078" s="8"/>
      <c r="W1078" s="8"/>
      <c r="X1078" s="8"/>
      <c r="Y1078" s="8"/>
      <c r="Z1078" s="8"/>
      <c r="AA1078" s="8"/>
      <c r="AB1078" s="8"/>
      <c r="AC1078" s="8">
        <f t="shared" si="133"/>
        <v>0</v>
      </c>
      <c r="AD1078" s="8"/>
      <c r="AE1078" s="8"/>
      <c r="AF1078" s="8"/>
      <c r="AG1078" s="8"/>
      <c r="AH1078" s="8"/>
      <c r="AI1078" s="8"/>
      <c r="AJ1078" s="8"/>
      <c r="AK1078" s="8"/>
      <c r="AL1078" s="8"/>
      <c r="AM1078" s="8">
        <v>30028272</v>
      </c>
      <c r="AN1078" s="8">
        <f>SUBTOTAL(9,AC1078:AM1078)</f>
        <v>30028272</v>
      </c>
      <c r="AO1078" s="8"/>
      <c r="AP1078" s="8"/>
      <c r="AQ1078" s="8"/>
      <c r="AR1078" s="8"/>
      <c r="AS1078" s="8"/>
      <c r="AT1078" s="8"/>
      <c r="AU1078" s="8"/>
      <c r="AV1078" s="8"/>
      <c r="AW1078" s="8"/>
      <c r="AX1078" s="8"/>
      <c r="AY1078" s="8">
        <v>40128810</v>
      </c>
      <c r="AZ1078" s="8"/>
      <c r="BA1078" s="8">
        <f>VLOOKUP(B1078,[1]Hoja3!J$3:K$674,2,0)</f>
        <v>50267030</v>
      </c>
      <c r="BB1078" s="8"/>
      <c r="BC1078" s="8">
        <f t="shared" si="134"/>
        <v>120424112</v>
      </c>
      <c r="BD1078" s="4">
        <v>40128810</v>
      </c>
      <c r="BE1078" s="4">
        <f t="shared" si="135"/>
        <v>80295302</v>
      </c>
      <c r="BF1078" s="30">
        <f t="shared" si="136"/>
        <v>120424112</v>
      </c>
      <c r="BG1078" s="18">
        <f t="shared" si="137"/>
        <v>0</v>
      </c>
      <c r="BH1078" s="23"/>
      <c r="BI1078" s="23"/>
      <c r="BJ1078" s="23"/>
    </row>
    <row r="1079" spans="1:66" ht="15" customHeight="1" x14ac:dyDescent="0.2">
      <c r="A1079" s="1">
        <v>8001029122</v>
      </c>
      <c r="B1079" s="1">
        <v>800102912</v>
      </c>
      <c r="C1079" s="15">
        <v>216586865</v>
      </c>
      <c r="D1079" s="16" t="s">
        <v>985</v>
      </c>
      <c r="E1079" s="41" t="s">
        <v>2043</v>
      </c>
      <c r="F1079" s="28"/>
      <c r="G1079" s="2"/>
      <c r="H1079" s="3"/>
      <c r="I1079" s="2"/>
      <c r="J1079" s="29"/>
      <c r="K1079" s="3"/>
      <c r="L1079" s="2"/>
      <c r="M1079" s="8"/>
      <c r="N1079" s="3"/>
      <c r="O1079" s="2"/>
      <c r="P1079" s="3"/>
      <c r="Q1079" s="2"/>
      <c r="R1079" s="3"/>
      <c r="S1079" s="3"/>
      <c r="T1079" s="2"/>
      <c r="U1079" s="8">
        <f t="shared" si="132"/>
        <v>0</v>
      </c>
      <c r="V1079" s="8"/>
      <c r="W1079" s="8"/>
      <c r="X1079" s="8"/>
      <c r="Y1079" s="8"/>
      <c r="Z1079" s="8"/>
      <c r="AA1079" s="8"/>
      <c r="AB1079" s="8"/>
      <c r="AC1079" s="8">
        <f t="shared" si="133"/>
        <v>0</v>
      </c>
      <c r="AD1079" s="8"/>
      <c r="AE1079" s="8"/>
      <c r="AF1079" s="8"/>
      <c r="AG1079" s="8"/>
      <c r="AH1079" s="8"/>
      <c r="AI1079" s="8"/>
      <c r="AJ1079" s="8"/>
      <c r="AK1079" s="8"/>
      <c r="AL1079" s="8"/>
      <c r="AM1079" s="8">
        <v>295738776</v>
      </c>
      <c r="AN1079" s="8">
        <f>SUBTOTAL(9,AC1079:AM1079)</f>
        <v>295738776</v>
      </c>
      <c r="AO1079" s="8"/>
      <c r="AP1079" s="8"/>
      <c r="AQ1079" s="8"/>
      <c r="AR1079" s="8"/>
      <c r="AS1079" s="8"/>
      <c r="AT1079" s="8"/>
      <c r="AU1079" s="8"/>
      <c r="AV1079" s="8"/>
      <c r="AW1079" s="8"/>
      <c r="AX1079" s="8"/>
      <c r="AY1079" s="8">
        <v>348362800</v>
      </c>
      <c r="AZ1079" s="8"/>
      <c r="BA1079" s="8">
        <f>VLOOKUP(B1079,[1]Hoja3!J$3:K$674,2,0)</f>
        <v>265940919</v>
      </c>
      <c r="BB1079" s="8"/>
      <c r="BC1079" s="8">
        <f t="shared" si="134"/>
        <v>910042495</v>
      </c>
      <c r="BD1079" s="4">
        <v>348362800</v>
      </c>
      <c r="BE1079" s="4">
        <f t="shared" si="135"/>
        <v>561679695</v>
      </c>
      <c r="BF1079" s="30">
        <f t="shared" si="136"/>
        <v>910042495</v>
      </c>
      <c r="BG1079" s="18">
        <f t="shared" si="137"/>
        <v>0</v>
      </c>
      <c r="BH1079" s="23"/>
      <c r="BI1079" s="23"/>
      <c r="BJ1079" s="23"/>
    </row>
    <row r="1080" spans="1:66" ht="15" customHeight="1" x14ac:dyDescent="0.2">
      <c r="A1080" s="1">
        <v>8902054605</v>
      </c>
      <c r="B1080" s="1">
        <v>890205460</v>
      </c>
      <c r="C1080" s="15">
        <v>215568855</v>
      </c>
      <c r="D1080" s="16" t="s">
        <v>2136</v>
      </c>
      <c r="E1080" s="41" t="s">
        <v>1900</v>
      </c>
      <c r="F1080" s="28"/>
      <c r="G1080" s="2"/>
      <c r="H1080" s="3"/>
      <c r="I1080" s="2"/>
      <c r="J1080" s="29"/>
      <c r="K1080" s="3"/>
      <c r="L1080" s="2"/>
      <c r="M1080" s="8"/>
      <c r="N1080" s="3"/>
      <c r="O1080" s="2"/>
      <c r="P1080" s="3"/>
      <c r="Q1080" s="2"/>
      <c r="R1080" s="3"/>
      <c r="S1080" s="3"/>
      <c r="T1080" s="2"/>
      <c r="U1080" s="8">
        <f t="shared" si="132"/>
        <v>0</v>
      </c>
      <c r="V1080" s="8"/>
      <c r="W1080" s="8"/>
      <c r="X1080" s="8"/>
      <c r="Y1080" s="8"/>
      <c r="Z1080" s="8"/>
      <c r="AA1080" s="8"/>
      <c r="AB1080" s="8"/>
      <c r="AC1080" s="8">
        <f t="shared" si="133"/>
        <v>0</v>
      </c>
      <c r="AD1080" s="8"/>
      <c r="AE1080" s="8"/>
      <c r="AF1080" s="8"/>
      <c r="AG1080" s="8"/>
      <c r="AH1080" s="8"/>
      <c r="AI1080" s="8"/>
      <c r="AJ1080" s="8"/>
      <c r="AK1080" s="8"/>
      <c r="AL1080" s="8"/>
      <c r="AM1080" s="8">
        <v>85961910</v>
      </c>
      <c r="AN1080" s="8">
        <f>SUBTOTAL(9,AC1080:AM1080)</f>
        <v>85961910</v>
      </c>
      <c r="AO1080" s="8"/>
      <c r="AP1080" s="8"/>
      <c r="AQ1080" s="8"/>
      <c r="AR1080" s="8"/>
      <c r="AS1080" s="8"/>
      <c r="AT1080" s="8"/>
      <c r="AU1080" s="8"/>
      <c r="AV1080" s="8"/>
      <c r="AW1080" s="8"/>
      <c r="AX1080" s="8"/>
      <c r="AY1080" s="8">
        <v>29103170</v>
      </c>
      <c r="AZ1080" s="8"/>
      <c r="BA1080" s="8"/>
      <c r="BB1080" s="8"/>
      <c r="BC1080" s="8">
        <f t="shared" si="134"/>
        <v>115065080</v>
      </c>
      <c r="BD1080" s="4">
        <v>29103170</v>
      </c>
      <c r="BE1080" s="4">
        <f t="shared" si="135"/>
        <v>85961910</v>
      </c>
      <c r="BF1080" s="30">
        <f t="shared" si="136"/>
        <v>115065080</v>
      </c>
      <c r="BG1080" s="18">
        <f t="shared" si="137"/>
        <v>0</v>
      </c>
      <c r="BH1080" s="23"/>
      <c r="BI1080" s="23"/>
      <c r="BJ1080" s="23"/>
    </row>
    <row r="1081" spans="1:66" ht="15" customHeight="1" x14ac:dyDescent="0.2">
      <c r="A1081" s="1">
        <v>8000989118</v>
      </c>
      <c r="B1081" s="1">
        <v>800098911</v>
      </c>
      <c r="C1081" s="15">
        <v>210120001</v>
      </c>
      <c r="D1081" s="16" t="s">
        <v>2193</v>
      </c>
      <c r="E1081" s="53" t="s">
        <v>1019</v>
      </c>
      <c r="F1081" s="28"/>
      <c r="G1081" s="2"/>
      <c r="H1081" s="3"/>
      <c r="I1081" s="2">
        <f>9548557501+169246858</f>
        <v>9717804359</v>
      </c>
      <c r="J1081" s="29">
        <v>656632324</v>
      </c>
      <c r="K1081" s="3">
        <v>1307379949</v>
      </c>
      <c r="L1081" s="2"/>
      <c r="M1081" s="37">
        <f>SUM(F1081:L1081)</f>
        <v>11681816632</v>
      </c>
      <c r="N1081" s="3"/>
      <c r="O1081" s="2"/>
      <c r="P1081" s="3"/>
      <c r="Q1081" s="2">
        <f>10366216729+1714217079</f>
        <v>12080433808</v>
      </c>
      <c r="R1081" s="3">
        <v>657035709</v>
      </c>
      <c r="S1081" s="3">
        <f>650747625+657035709</f>
        <v>1307783334</v>
      </c>
      <c r="T1081" s="2"/>
      <c r="U1081" s="8">
        <f t="shared" si="132"/>
        <v>25727069483</v>
      </c>
      <c r="V1081" s="8"/>
      <c r="W1081" s="8"/>
      <c r="X1081" s="8"/>
      <c r="Y1081" s="8">
        <v>17261452469</v>
      </c>
      <c r="Z1081" s="8">
        <v>611297135</v>
      </c>
      <c r="AA1081" s="8">
        <v>1424224786</v>
      </c>
      <c r="AB1081" s="8"/>
      <c r="AC1081" s="8">
        <f t="shared" si="133"/>
        <v>45024043873</v>
      </c>
      <c r="AD1081" s="8"/>
      <c r="AE1081" s="8"/>
      <c r="AF1081" s="8"/>
      <c r="AG1081" s="8"/>
      <c r="AH1081" s="8">
        <v>12362375773</v>
      </c>
      <c r="AI1081" s="8">
        <v>2092217856</v>
      </c>
      <c r="AJ1081" s="8">
        <v>658440660</v>
      </c>
      <c r="AK1081" s="8">
        <v>1662042829</v>
      </c>
      <c r="AL1081" s="8"/>
      <c r="AM1081" s="8">
        <v>4398839344</v>
      </c>
      <c r="AN1081" s="8">
        <f>SUBTOTAL(9,AC1081:AM1081)</f>
        <v>66197960335</v>
      </c>
      <c r="AO1081" s="8"/>
      <c r="AP1081" s="8"/>
      <c r="AQ1081" s="8">
        <v>2316443255</v>
      </c>
      <c r="AR1081" s="8"/>
      <c r="AS1081" s="8"/>
      <c r="AT1081" s="8">
        <v>11362375773</v>
      </c>
      <c r="AU1081" s="8">
        <v>1753553076</v>
      </c>
      <c r="AV1081" s="8">
        <v>658440660</v>
      </c>
      <c r="AW1081" s="8">
        <v>1126198001</v>
      </c>
      <c r="AX1081" s="8"/>
      <c r="AY1081" s="8"/>
      <c r="AZ1081" s="8"/>
      <c r="BA1081" s="8">
        <f>VLOOKUP(B1081,[1]Hoja3!J$3:K$674,2,0)</f>
        <v>653822899</v>
      </c>
      <c r="BB1081" s="8">
        <f>VLOOKUP(B1081,'[2]anuladas en mayo gratuidad}'!K$2:L$55,2,0)</f>
        <v>170860306</v>
      </c>
      <c r="BC1081" s="8">
        <f t="shared" si="134"/>
        <v>83897933693</v>
      </c>
      <c r="BD1081" s="4">
        <v>79016131756</v>
      </c>
      <c r="BE1081" s="4">
        <f t="shared" si="135"/>
        <v>4881801937</v>
      </c>
      <c r="BF1081" s="30">
        <f t="shared" si="136"/>
        <v>83897933693</v>
      </c>
      <c r="BG1081" s="18">
        <f t="shared" si="137"/>
        <v>0</v>
      </c>
      <c r="BH1081" s="23"/>
      <c r="BI1081" s="23"/>
      <c r="BJ1081" s="23"/>
    </row>
    <row r="1082" spans="1:66" ht="15" customHeight="1" x14ac:dyDescent="0.2">
      <c r="A1082" s="1">
        <v>8909841862</v>
      </c>
      <c r="B1082" s="1">
        <v>890984186</v>
      </c>
      <c r="C1082" s="15">
        <v>215605856</v>
      </c>
      <c r="D1082" s="16" t="s">
        <v>152</v>
      </c>
      <c r="E1082" s="41" t="s">
        <v>1181</v>
      </c>
      <c r="F1082" s="28"/>
      <c r="G1082" s="2"/>
      <c r="H1082" s="3"/>
      <c r="I1082" s="2"/>
      <c r="J1082" s="29"/>
      <c r="K1082" s="3"/>
      <c r="L1082" s="2"/>
      <c r="M1082" s="8"/>
      <c r="N1082" s="3"/>
      <c r="O1082" s="2"/>
      <c r="P1082" s="3"/>
      <c r="Q1082" s="2"/>
      <c r="R1082" s="3"/>
      <c r="S1082" s="3"/>
      <c r="T1082" s="2"/>
      <c r="U1082" s="8">
        <f t="shared" si="132"/>
        <v>0</v>
      </c>
      <c r="V1082" s="8"/>
      <c r="W1082" s="8"/>
      <c r="X1082" s="8"/>
      <c r="Y1082" s="8"/>
      <c r="Z1082" s="8"/>
      <c r="AA1082" s="8"/>
      <c r="AB1082" s="8"/>
      <c r="AC1082" s="8">
        <f t="shared" si="133"/>
        <v>0</v>
      </c>
      <c r="AD1082" s="8"/>
      <c r="AE1082" s="8"/>
      <c r="AF1082" s="8"/>
      <c r="AG1082" s="8"/>
      <c r="AH1082" s="8"/>
      <c r="AI1082" s="8"/>
      <c r="AJ1082" s="8"/>
      <c r="AK1082" s="8"/>
      <c r="AL1082" s="8"/>
      <c r="AM1082" s="8"/>
      <c r="AN1082" s="8"/>
      <c r="AO1082" s="8"/>
      <c r="AP1082" s="8"/>
      <c r="AQ1082" s="8"/>
      <c r="AR1082" s="8"/>
      <c r="AS1082" s="8"/>
      <c r="AT1082" s="8"/>
      <c r="AU1082" s="8"/>
      <c r="AV1082" s="8"/>
      <c r="AW1082" s="8"/>
      <c r="AX1082" s="8"/>
      <c r="AY1082" s="8">
        <v>38603040</v>
      </c>
      <c r="AZ1082" s="8"/>
      <c r="BA1082" s="8">
        <f>VLOOKUP(B1082,[1]Hoja3!J$3:K$674,2,0)</f>
        <v>66160249</v>
      </c>
      <c r="BB1082" s="8"/>
      <c r="BC1082" s="8">
        <f t="shared" si="134"/>
        <v>104763289</v>
      </c>
      <c r="BD1082" s="4">
        <v>38603040</v>
      </c>
      <c r="BE1082" s="4">
        <f t="shared" si="135"/>
        <v>66160249</v>
      </c>
      <c r="BF1082" s="30">
        <f t="shared" si="136"/>
        <v>104763289</v>
      </c>
      <c r="BG1082" s="18">
        <f t="shared" si="137"/>
        <v>0</v>
      </c>
      <c r="BH1082" s="23"/>
      <c r="BI1082" s="23"/>
      <c r="BJ1082" s="23"/>
    </row>
    <row r="1083" spans="1:66" ht="15" customHeight="1" x14ac:dyDescent="0.2">
      <c r="A1083" s="1">
        <v>8000504071</v>
      </c>
      <c r="B1083" s="1">
        <v>800050407</v>
      </c>
      <c r="C1083" s="15">
        <v>216018860</v>
      </c>
      <c r="D1083" s="16" t="s">
        <v>372</v>
      </c>
      <c r="E1083" s="41" t="s">
        <v>1404</v>
      </c>
      <c r="F1083" s="28"/>
      <c r="G1083" s="2"/>
      <c r="H1083" s="3"/>
      <c r="I1083" s="2"/>
      <c r="J1083" s="29"/>
      <c r="K1083" s="3"/>
      <c r="L1083" s="2"/>
      <c r="M1083" s="8"/>
      <c r="N1083" s="3"/>
      <c r="O1083" s="2"/>
      <c r="P1083" s="3"/>
      <c r="Q1083" s="2"/>
      <c r="R1083" s="3"/>
      <c r="S1083" s="3"/>
      <c r="T1083" s="2"/>
      <c r="U1083" s="8">
        <f t="shared" si="132"/>
        <v>0</v>
      </c>
      <c r="V1083" s="8"/>
      <c r="W1083" s="8"/>
      <c r="X1083" s="8"/>
      <c r="Y1083" s="8"/>
      <c r="Z1083" s="8"/>
      <c r="AA1083" s="8"/>
      <c r="AB1083" s="8"/>
      <c r="AC1083" s="8">
        <f t="shared" si="133"/>
        <v>0</v>
      </c>
      <c r="AD1083" s="8"/>
      <c r="AE1083" s="8"/>
      <c r="AF1083" s="8"/>
      <c r="AG1083" s="8"/>
      <c r="AH1083" s="8"/>
      <c r="AI1083" s="8"/>
      <c r="AJ1083" s="8"/>
      <c r="AK1083" s="8"/>
      <c r="AL1083" s="8"/>
      <c r="AM1083" s="8">
        <v>11896458</v>
      </c>
      <c r="AN1083" s="8">
        <f>SUBTOTAL(9,AC1083:AM1083)</f>
        <v>11896458</v>
      </c>
      <c r="AO1083" s="8"/>
      <c r="AP1083" s="8"/>
      <c r="AQ1083" s="8"/>
      <c r="AR1083" s="8"/>
      <c r="AS1083" s="8"/>
      <c r="AT1083" s="8"/>
      <c r="AU1083" s="8"/>
      <c r="AV1083" s="8"/>
      <c r="AW1083" s="8"/>
      <c r="AX1083" s="8"/>
      <c r="AY1083" s="8">
        <v>86170295</v>
      </c>
      <c r="AZ1083" s="8"/>
      <c r="BA1083" s="8">
        <f>VLOOKUP(B1083,[1]Hoja3!J$3:K$674,2,0)</f>
        <v>117449252</v>
      </c>
      <c r="BB1083" s="8"/>
      <c r="BC1083" s="8">
        <f t="shared" si="134"/>
        <v>215516005</v>
      </c>
      <c r="BD1083" s="4">
        <v>86170295</v>
      </c>
      <c r="BE1083" s="4">
        <f t="shared" si="135"/>
        <v>129345710</v>
      </c>
      <c r="BF1083" s="30">
        <f t="shared" si="136"/>
        <v>215516005</v>
      </c>
      <c r="BG1083" s="18">
        <f t="shared" si="137"/>
        <v>0</v>
      </c>
      <c r="BH1083" s="23"/>
      <c r="BI1083" s="23"/>
      <c r="BJ1083" s="23"/>
    </row>
    <row r="1084" spans="1:66" ht="15" customHeight="1" x14ac:dyDescent="0.2">
      <c r="A1084" s="1">
        <v>8909852858</v>
      </c>
      <c r="B1084" s="1">
        <v>890985285</v>
      </c>
      <c r="C1084" s="15">
        <v>215805858</v>
      </c>
      <c r="D1084" s="16" t="s">
        <v>153</v>
      </c>
      <c r="E1084" s="41" t="s">
        <v>1182</v>
      </c>
      <c r="F1084" s="28"/>
      <c r="G1084" s="2"/>
      <c r="H1084" s="3"/>
      <c r="I1084" s="2"/>
      <c r="J1084" s="29"/>
      <c r="K1084" s="3"/>
      <c r="L1084" s="2"/>
      <c r="M1084" s="8"/>
      <c r="N1084" s="3"/>
      <c r="O1084" s="2"/>
      <c r="P1084" s="3"/>
      <c r="Q1084" s="2"/>
      <c r="R1084" s="3"/>
      <c r="S1084" s="3"/>
      <c r="T1084" s="2"/>
      <c r="U1084" s="8">
        <f t="shared" si="132"/>
        <v>0</v>
      </c>
      <c r="V1084" s="8"/>
      <c r="W1084" s="8"/>
      <c r="X1084" s="8"/>
      <c r="Y1084" s="8"/>
      <c r="Z1084" s="8"/>
      <c r="AA1084" s="8"/>
      <c r="AB1084" s="8"/>
      <c r="AC1084" s="8">
        <f t="shared" si="133"/>
        <v>0</v>
      </c>
      <c r="AD1084" s="8"/>
      <c r="AE1084" s="8"/>
      <c r="AF1084" s="8"/>
      <c r="AG1084" s="8"/>
      <c r="AH1084" s="8"/>
      <c r="AI1084" s="8"/>
      <c r="AJ1084" s="8"/>
      <c r="AK1084" s="8"/>
      <c r="AL1084" s="8"/>
      <c r="AM1084" s="8"/>
      <c r="AN1084" s="8"/>
      <c r="AO1084" s="8"/>
      <c r="AP1084" s="8"/>
      <c r="AQ1084" s="8"/>
      <c r="AR1084" s="8"/>
      <c r="AS1084" s="8"/>
      <c r="AT1084" s="8"/>
      <c r="AU1084" s="8"/>
      <c r="AV1084" s="8"/>
      <c r="AW1084" s="8"/>
      <c r="AX1084" s="8"/>
      <c r="AY1084" s="8">
        <v>99486560</v>
      </c>
      <c r="AZ1084" s="8"/>
      <c r="BA1084" s="8">
        <f>VLOOKUP(B1084,[1]Hoja3!J$3:K$674,2,0)</f>
        <v>209646495</v>
      </c>
      <c r="BB1084" s="8"/>
      <c r="BC1084" s="8">
        <f t="shared" si="134"/>
        <v>309133055</v>
      </c>
      <c r="BD1084" s="4">
        <v>99486560</v>
      </c>
      <c r="BE1084" s="4">
        <f t="shared" si="135"/>
        <v>209646495</v>
      </c>
      <c r="BF1084" s="30">
        <f t="shared" si="136"/>
        <v>309133055</v>
      </c>
      <c r="BG1084" s="18">
        <f t="shared" si="137"/>
        <v>0</v>
      </c>
      <c r="BH1084" s="23"/>
      <c r="BI1084" s="23"/>
      <c r="BJ1084" s="23"/>
    </row>
    <row r="1085" spans="1:66" ht="15" customHeight="1" x14ac:dyDescent="0.2">
      <c r="A1085" s="1">
        <v>8902056776</v>
      </c>
      <c r="B1085" s="1">
        <v>890205677</v>
      </c>
      <c r="C1085" s="15">
        <v>216168861</v>
      </c>
      <c r="D1085" s="16" t="s">
        <v>886</v>
      </c>
      <c r="E1085" s="41" t="s">
        <v>1901</v>
      </c>
      <c r="F1085" s="28"/>
      <c r="G1085" s="2"/>
      <c r="H1085" s="3"/>
      <c r="I1085" s="2"/>
      <c r="J1085" s="29"/>
      <c r="K1085" s="3"/>
      <c r="L1085" s="2"/>
      <c r="M1085" s="8"/>
      <c r="N1085" s="3"/>
      <c r="O1085" s="2"/>
      <c r="P1085" s="3"/>
      <c r="Q1085" s="2"/>
      <c r="R1085" s="3"/>
      <c r="S1085" s="3"/>
      <c r="T1085" s="2"/>
      <c r="U1085" s="8">
        <f t="shared" si="132"/>
        <v>0</v>
      </c>
      <c r="V1085" s="8"/>
      <c r="W1085" s="8"/>
      <c r="X1085" s="8"/>
      <c r="Y1085" s="8"/>
      <c r="Z1085" s="8"/>
      <c r="AA1085" s="8"/>
      <c r="AB1085" s="8"/>
      <c r="AC1085" s="8">
        <f t="shared" si="133"/>
        <v>0</v>
      </c>
      <c r="AD1085" s="8"/>
      <c r="AE1085" s="8"/>
      <c r="AF1085" s="8"/>
      <c r="AG1085" s="8"/>
      <c r="AH1085" s="8"/>
      <c r="AI1085" s="8"/>
      <c r="AJ1085" s="8"/>
      <c r="AK1085" s="8"/>
      <c r="AL1085" s="8"/>
      <c r="AM1085" s="8">
        <v>253942135</v>
      </c>
      <c r="AN1085" s="8">
        <f t="shared" ref="AN1085:AN1090" si="140">SUBTOTAL(9,AC1085:AM1085)</f>
        <v>253942135</v>
      </c>
      <c r="AO1085" s="8"/>
      <c r="AP1085" s="8"/>
      <c r="AQ1085" s="8"/>
      <c r="AR1085" s="8"/>
      <c r="AS1085" s="8"/>
      <c r="AT1085" s="8"/>
      <c r="AU1085" s="8"/>
      <c r="AV1085" s="8"/>
      <c r="AW1085" s="8"/>
      <c r="AX1085" s="8"/>
      <c r="AY1085" s="8"/>
      <c r="AZ1085" s="8"/>
      <c r="BA1085" s="8"/>
      <c r="BB1085" s="8"/>
      <c r="BC1085" s="8">
        <f t="shared" si="134"/>
        <v>253942135</v>
      </c>
      <c r="BD1085" s="4"/>
      <c r="BE1085" s="4">
        <f t="shared" si="135"/>
        <v>253942135</v>
      </c>
      <c r="BF1085" s="30">
        <f t="shared" si="136"/>
        <v>253942135</v>
      </c>
      <c r="BG1085" s="18">
        <f t="shared" si="137"/>
        <v>0</v>
      </c>
      <c r="BH1085" s="23"/>
      <c r="BI1085" s="23"/>
      <c r="BJ1085" s="23"/>
    </row>
    <row r="1086" spans="1:66" ht="15" customHeight="1" x14ac:dyDescent="0.2">
      <c r="A1086" s="1">
        <v>8001001443</v>
      </c>
      <c r="B1086" s="1">
        <v>800100144</v>
      </c>
      <c r="C1086" s="15">
        <v>216173861</v>
      </c>
      <c r="D1086" s="16" t="s">
        <v>2244</v>
      </c>
      <c r="E1086" s="41" t="s">
        <v>1971</v>
      </c>
      <c r="F1086" s="28"/>
      <c r="G1086" s="2"/>
      <c r="H1086" s="3"/>
      <c r="I1086" s="2"/>
      <c r="J1086" s="29"/>
      <c r="K1086" s="3"/>
      <c r="L1086" s="2"/>
      <c r="M1086" s="8"/>
      <c r="N1086" s="3"/>
      <c r="O1086" s="2"/>
      <c r="P1086" s="3"/>
      <c r="Q1086" s="2"/>
      <c r="R1086" s="3"/>
      <c r="S1086" s="3"/>
      <c r="T1086" s="2"/>
      <c r="U1086" s="8">
        <f t="shared" si="132"/>
        <v>0</v>
      </c>
      <c r="V1086" s="8"/>
      <c r="W1086" s="8"/>
      <c r="X1086" s="8"/>
      <c r="Y1086" s="8"/>
      <c r="Z1086" s="8"/>
      <c r="AA1086" s="8"/>
      <c r="AB1086" s="8"/>
      <c r="AC1086" s="8">
        <f t="shared" si="133"/>
        <v>0</v>
      </c>
      <c r="AD1086" s="8"/>
      <c r="AE1086" s="8"/>
      <c r="AF1086" s="8"/>
      <c r="AG1086" s="8"/>
      <c r="AH1086" s="8"/>
      <c r="AI1086" s="8"/>
      <c r="AJ1086" s="8"/>
      <c r="AK1086" s="8"/>
      <c r="AL1086" s="8"/>
      <c r="AM1086" s="8">
        <v>28570203</v>
      </c>
      <c r="AN1086" s="8">
        <f t="shared" si="140"/>
        <v>28570203</v>
      </c>
      <c r="AO1086" s="8"/>
      <c r="AP1086" s="8"/>
      <c r="AQ1086" s="8"/>
      <c r="AR1086" s="8"/>
      <c r="AS1086" s="8"/>
      <c r="AT1086" s="8"/>
      <c r="AU1086" s="8"/>
      <c r="AV1086" s="8"/>
      <c r="AW1086" s="8"/>
      <c r="AX1086" s="8"/>
      <c r="AY1086" s="8">
        <v>93909870</v>
      </c>
      <c r="AZ1086" s="8"/>
      <c r="BA1086" s="8">
        <f>VLOOKUP(B1086,[1]Hoja3!J$3:K$674,2,0)</f>
        <v>158550584</v>
      </c>
      <c r="BB1086" s="8"/>
      <c r="BC1086" s="8">
        <f t="shared" si="134"/>
        <v>281030657</v>
      </c>
      <c r="BD1086" s="4">
        <v>93909870</v>
      </c>
      <c r="BE1086" s="4">
        <f t="shared" si="135"/>
        <v>187120787</v>
      </c>
      <c r="BF1086" s="30">
        <f t="shared" si="136"/>
        <v>281030657</v>
      </c>
      <c r="BG1086" s="18">
        <f t="shared" si="137"/>
        <v>0</v>
      </c>
      <c r="BH1086" s="23"/>
      <c r="BI1086" s="23"/>
      <c r="BJ1086" s="23"/>
    </row>
    <row r="1087" spans="1:66" ht="15" customHeight="1" x14ac:dyDescent="0.2">
      <c r="A1087" s="1">
        <v>8909807641</v>
      </c>
      <c r="B1087" s="1">
        <v>890980764</v>
      </c>
      <c r="C1087" s="15">
        <v>216105861</v>
      </c>
      <c r="D1087" s="16" t="s">
        <v>154</v>
      </c>
      <c r="E1087" s="41" t="s">
        <v>1183</v>
      </c>
      <c r="F1087" s="28"/>
      <c r="G1087" s="2"/>
      <c r="H1087" s="3"/>
      <c r="I1087" s="2"/>
      <c r="J1087" s="29"/>
      <c r="K1087" s="3"/>
      <c r="L1087" s="2"/>
      <c r="M1087" s="8"/>
      <c r="N1087" s="3"/>
      <c r="O1087" s="2"/>
      <c r="P1087" s="3"/>
      <c r="Q1087" s="2"/>
      <c r="R1087" s="3"/>
      <c r="S1087" s="3"/>
      <c r="T1087" s="2"/>
      <c r="U1087" s="8">
        <f t="shared" si="132"/>
        <v>0</v>
      </c>
      <c r="V1087" s="8"/>
      <c r="W1087" s="8"/>
      <c r="X1087" s="8"/>
      <c r="Y1087" s="8"/>
      <c r="Z1087" s="8"/>
      <c r="AA1087" s="8"/>
      <c r="AB1087" s="8"/>
      <c r="AC1087" s="8">
        <f t="shared" si="133"/>
        <v>0</v>
      </c>
      <c r="AD1087" s="8"/>
      <c r="AE1087" s="8"/>
      <c r="AF1087" s="8"/>
      <c r="AG1087" s="8"/>
      <c r="AH1087" s="8"/>
      <c r="AI1087" s="8"/>
      <c r="AJ1087" s="8"/>
      <c r="AK1087" s="8"/>
      <c r="AL1087" s="8"/>
      <c r="AM1087" s="8">
        <v>144599373</v>
      </c>
      <c r="AN1087" s="8">
        <f t="shared" si="140"/>
        <v>144599373</v>
      </c>
      <c r="AO1087" s="8"/>
      <c r="AP1087" s="8"/>
      <c r="AQ1087" s="8"/>
      <c r="AR1087" s="8"/>
      <c r="AS1087" s="8"/>
      <c r="AT1087" s="8"/>
      <c r="AU1087" s="8"/>
      <c r="AV1087" s="8"/>
      <c r="AW1087" s="8"/>
      <c r="AX1087" s="8"/>
      <c r="AY1087" s="8">
        <v>83573900</v>
      </c>
      <c r="AZ1087" s="8"/>
      <c r="BA1087" s="8"/>
      <c r="BB1087" s="8"/>
      <c r="BC1087" s="8">
        <f t="shared" si="134"/>
        <v>228173273</v>
      </c>
      <c r="BD1087" s="4">
        <v>83573900</v>
      </c>
      <c r="BE1087" s="4">
        <f t="shared" si="135"/>
        <v>144599373</v>
      </c>
      <c r="BF1087" s="30">
        <f t="shared" si="136"/>
        <v>228173273</v>
      </c>
      <c r="BG1087" s="18">
        <f t="shared" si="137"/>
        <v>0</v>
      </c>
      <c r="BH1087" s="23"/>
      <c r="BI1087" s="23"/>
      <c r="BJ1087" s="23"/>
    </row>
    <row r="1088" spans="1:66" ht="15" customHeight="1" x14ac:dyDescent="0.2">
      <c r="A1088" s="1">
        <v>8918009862</v>
      </c>
      <c r="B1088" s="1">
        <v>891800986</v>
      </c>
      <c r="C1088" s="15">
        <v>216115861</v>
      </c>
      <c r="D1088" s="16" t="s">
        <v>333</v>
      </c>
      <c r="E1088" s="41" t="s">
        <v>1364</v>
      </c>
      <c r="F1088" s="28"/>
      <c r="G1088" s="17"/>
      <c r="H1088" s="3"/>
      <c r="I1088" s="2"/>
      <c r="J1088" s="29"/>
      <c r="K1088" s="3"/>
      <c r="L1088" s="17"/>
      <c r="M1088" s="34"/>
      <c r="N1088" s="3"/>
      <c r="O1088" s="17"/>
      <c r="P1088" s="3"/>
      <c r="Q1088" s="2"/>
      <c r="R1088" s="3"/>
      <c r="S1088" s="3"/>
      <c r="T1088" s="17"/>
      <c r="U1088" s="8">
        <f t="shared" si="132"/>
        <v>0</v>
      </c>
      <c r="V1088" s="8"/>
      <c r="W1088" s="8"/>
      <c r="X1088" s="8"/>
      <c r="Y1088" s="8"/>
      <c r="Z1088" s="8"/>
      <c r="AA1088" s="8"/>
      <c r="AB1088" s="8"/>
      <c r="AC1088" s="8">
        <f t="shared" si="133"/>
        <v>0</v>
      </c>
      <c r="AD1088" s="8"/>
      <c r="AE1088" s="8"/>
      <c r="AF1088" s="8"/>
      <c r="AG1088" s="8"/>
      <c r="AH1088" s="8"/>
      <c r="AI1088" s="8"/>
      <c r="AJ1088" s="8"/>
      <c r="AK1088" s="8"/>
      <c r="AL1088" s="8"/>
      <c r="AM1088" s="8">
        <v>70822607</v>
      </c>
      <c r="AN1088" s="8">
        <f t="shared" si="140"/>
        <v>70822607</v>
      </c>
      <c r="AO1088" s="8"/>
      <c r="AP1088" s="8"/>
      <c r="AQ1088" s="8"/>
      <c r="AR1088" s="8"/>
      <c r="AS1088" s="8"/>
      <c r="AT1088" s="8"/>
      <c r="AU1088" s="8"/>
      <c r="AV1088" s="8"/>
      <c r="AW1088" s="8"/>
      <c r="AX1088" s="8"/>
      <c r="AY1088" s="8">
        <v>99768065</v>
      </c>
      <c r="AZ1088" s="8"/>
      <c r="BA1088" s="8">
        <f>VLOOKUP(B1088,[1]Hoja3!J$3:K$674,2,0)</f>
        <v>193373673</v>
      </c>
      <c r="BB1088" s="8"/>
      <c r="BC1088" s="8">
        <f t="shared" si="134"/>
        <v>363964345</v>
      </c>
      <c r="BD1088" s="4">
        <v>99768065</v>
      </c>
      <c r="BE1088" s="4">
        <f t="shared" si="135"/>
        <v>264196280</v>
      </c>
      <c r="BF1088" s="30">
        <f t="shared" si="136"/>
        <v>363964345</v>
      </c>
      <c r="BG1088" s="18">
        <f t="shared" si="137"/>
        <v>0</v>
      </c>
      <c r="BH1088" s="23"/>
      <c r="BI1088" s="14"/>
      <c r="BJ1088" s="14"/>
      <c r="BK1088" s="14"/>
      <c r="BL1088" s="14"/>
      <c r="BM1088" s="14"/>
      <c r="BN1088" s="14"/>
    </row>
    <row r="1089" spans="1:66" ht="15" customHeight="1" x14ac:dyDescent="0.2">
      <c r="A1089" s="1">
        <v>8999994485</v>
      </c>
      <c r="B1089" s="1">
        <v>899999448</v>
      </c>
      <c r="C1089" s="15">
        <v>216225862</v>
      </c>
      <c r="D1089" s="16" t="s">
        <v>559</v>
      </c>
      <c r="E1089" s="41" t="s">
        <v>1579</v>
      </c>
      <c r="F1089" s="28"/>
      <c r="G1089" s="2"/>
      <c r="H1089" s="3"/>
      <c r="I1089" s="2"/>
      <c r="J1089" s="29"/>
      <c r="K1089" s="3"/>
      <c r="L1089" s="2"/>
      <c r="M1089" s="8"/>
      <c r="N1089" s="3"/>
      <c r="O1089" s="2"/>
      <c r="P1089" s="3"/>
      <c r="Q1089" s="2"/>
      <c r="R1089" s="3"/>
      <c r="S1089" s="3"/>
      <c r="T1089" s="2"/>
      <c r="U1089" s="8">
        <f t="shared" si="132"/>
        <v>0</v>
      </c>
      <c r="V1089" s="8"/>
      <c r="W1089" s="8"/>
      <c r="X1089" s="8"/>
      <c r="Y1089" s="8"/>
      <c r="Z1089" s="8"/>
      <c r="AA1089" s="8"/>
      <c r="AB1089" s="8"/>
      <c r="AC1089" s="8">
        <f t="shared" si="133"/>
        <v>0</v>
      </c>
      <c r="AD1089" s="8"/>
      <c r="AE1089" s="8"/>
      <c r="AF1089" s="8"/>
      <c r="AG1089" s="8"/>
      <c r="AH1089" s="8"/>
      <c r="AI1089" s="8"/>
      <c r="AJ1089" s="8"/>
      <c r="AK1089" s="8"/>
      <c r="AL1089" s="8"/>
      <c r="AM1089" s="8">
        <v>83967883</v>
      </c>
      <c r="AN1089" s="8">
        <f t="shared" si="140"/>
        <v>83967883</v>
      </c>
      <c r="AO1089" s="8"/>
      <c r="AP1089" s="8"/>
      <c r="AQ1089" s="8"/>
      <c r="AR1089" s="8"/>
      <c r="AS1089" s="8"/>
      <c r="AT1089" s="8"/>
      <c r="AU1089" s="8"/>
      <c r="AV1089" s="8"/>
      <c r="AW1089" s="8"/>
      <c r="AX1089" s="8"/>
      <c r="AY1089" s="8">
        <v>50750230</v>
      </c>
      <c r="AZ1089" s="8"/>
      <c r="BA1089" s="8"/>
      <c r="BB1089" s="8"/>
      <c r="BC1089" s="8">
        <f t="shared" si="134"/>
        <v>134718113</v>
      </c>
      <c r="BD1089" s="4">
        <v>50750230</v>
      </c>
      <c r="BE1089" s="4">
        <f t="shared" si="135"/>
        <v>83967883</v>
      </c>
      <c r="BF1089" s="30">
        <f t="shared" si="136"/>
        <v>134718113</v>
      </c>
      <c r="BG1089" s="18">
        <f t="shared" si="137"/>
        <v>0</v>
      </c>
      <c r="BH1089" s="23"/>
      <c r="BI1089" s="23"/>
      <c r="BJ1089" s="23"/>
    </row>
    <row r="1090" spans="1:66" ht="15" customHeight="1" x14ac:dyDescent="0.2">
      <c r="A1090" s="1">
        <v>8919011552</v>
      </c>
      <c r="B1090" s="1">
        <v>891901155</v>
      </c>
      <c r="C1090" s="15">
        <v>216376863</v>
      </c>
      <c r="D1090" s="16" t="s">
        <v>943</v>
      </c>
      <c r="E1090" s="41" t="s">
        <v>2004</v>
      </c>
      <c r="F1090" s="28"/>
      <c r="G1090" s="2"/>
      <c r="H1090" s="3"/>
      <c r="I1090" s="2"/>
      <c r="J1090" s="29"/>
      <c r="K1090" s="3"/>
      <c r="L1090" s="2"/>
      <c r="M1090" s="8"/>
      <c r="N1090" s="3"/>
      <c r="O1090" s="2"/>
      <c r="P1090" s="3"/>
      <c r="Q1090" s="2"/>
      <c r="R1090" s="3"/>
      <c r="S1090" s="3"/>
      <c r="T1090" s="2"/>
      <c r="U1090" s="8">
        <f t="shared" si="132"/>
        <v>0</v>
      </c>
      <c r="V1090" s="8"/>
      <c r="W1090" s="8"/>
      <c r="X1090" s="8"/>
      <c r="Y1090" s="8"/>
      <c r="Z1090" s="8"/>
      <c r="AA1090" s="8"/>
      <c r="AB1090" s="8"/>
      <c r="AC1090" s="8">
        <f t="shared" si="133"/>
        <v>0</v>
      </c>
      <c r="AD1090" s="8"/>
      <c r="AE1090" s="8"/>
      <c r="AF1090" s="8"/>
      <c r="AG1090" s="8"/>
      <c r="AH1090" s="8"/>
      <c r="AI1090" s="8"/>
      <c r="AJ1090" s="8"/>
      <c r="AK1090" s="8"/>
      <c r="AL1090" s="8"/>
      <c r="AM1090" s="8">
        <v>86944112</v>
      </c>
      <c r="AN1090" s="8">
        <f t="shared" si="140"/>
        <v>86944112</v>
      </c>
      <c r="AO1090" s="8"/>
      <c r="AP1090" s="8"/>
      <c r="AQ1090" s="8"/>
      <c r="AR1090" s="8"/>
      <c r="AS1090" s="8"/>
      <c r="AT1090" s="8"/>
      <c r="AU1090" s="8"/>
      <c r="AV1090" s="8"/>
      <c r="AW1090" s="8"/>
      <c r="AX1090" s="8"/>
      <c r="AY1090" s="8"/>
      <c r="AZ1090" s="8"/>
      <c r="BA1090" s="8"/>
      <c r="BB1090" s="8"/>
      <c r="BC1090" s="8">
        <f t="shared" si="134"/>
        <v>86944112</v>
      </c>
      <c r="BD1090" s="4"/>
      <c r="BE1090" s="4">
        <f t="shared" si="135"/>
        <v>86944112</v>
      </c>
      <c r="BF1090" s="30">
        <f t="shared" si="136"/>
        <v>86944112</v>
      </c>
      <c r="BG1090" s="18">
        <f t="shared" si="137"/>
        <v>0</v>
      </c>
      <c r="BH1090" s="23"/>
      <c r="BI1090" s="23"/>
      <c r="BJ1090" s="23"/>
    </row>
    <row r="1091" spans="1:66" ht="15" customHeight="1" x14ac:dyDescent="0.2">
      <c r="A1091" s="1">
        <v>8902109511</v>
      </c>
      <c r="B1091" s="1">
        <v>890210951</v>
      </c>
      <c r="C1091" s="15">
        <v>216768867</v>
      </c>
      <c r="D1091" s="16" t="s">
        <v>887</v>
      </c>
      <c r="E1091" s="41" t="s">
        <v>1902</v>
      </c>
      <c r="F1091" s="28"/>
      <c r="G1091" s="2"/>
      <c r="H1091" s="3"/>
      <c r="I1091" s="2"/>
      <c r="J1091" s="29"/>
      <c r="K1091" s="3"/>
      <c r="L1091" s="2"/>
      <c r="M1091" s="8"/>
      <c r="N1091" s="3"/>
      <c r="O1091" s="2"/>
      <c r="P1091" s="3"/>
      <c r="Q1091" s="2"/>
      <c r="R1091" s="3"/>
      <c r="S1091" s="3"/>
      <c r="T1091" s="2"/>
      <c r="U1091" s="8">
        <f t="shared" ref="U1091:U1135" si="141">SUM(M1091:T1091)</f>
        <v>0</v>
      </c>
      <c r="V1091" s="8"/>
      <c r="W1091" s="8"/>
      <c r="X1091" s="8"/>
      <c r="Y1091" s="8"/>
      <c r="Z1091" s="8"/>
      <c r="AA1091" s="8"/>
      <c r="AB1091" s="8"/>
      <c r="AC1091" s="8">
        <f t="shared" si="133"/>
        <v>0</v>
      </c>
      <c r="AD1091" s="8"/>
      <c r="AE1091" s="8"/>
      <c r="AF1091" s="8"/>
      <c r="AG1091" s="8"/>
      <c r="AH1091" s="8"/>
      <c r="AI1091" s="8"/>
      <c r="AJ1091" s="8"/>
      <c r="AK1091" s="8"/>
      <c r="AL1091" s="8"/>
      <c r="AM1091" s="8"/>
      <c r="AN1091" s="8"/>
      <c r="AO1091" s="8"/>
      <c r="AP1091" s="8"/>
      <c r="AQ1091" s="8"/>
      <c r="AR1091" s="8"/>
      <c r="AS1091" s="8"/>
      <c r="AT1091" s="8"/>
      <c r="AU1091" s="8"/>
      <c r="AV1091" s="8"/>
      <c r="AW1091" s="8"/>
      <c r="AX1091" s="8"/>
      <c r="AY1091" s="8">
        <v>9257430</v>
      </c>
      <c r="AZ1091" s="8"/>
      <c r="BA1091" s="8">
        <f>VLOOKUP(B1091,[1]Hoja3!J$3:K$674,2,0)</f>
        <v>25153838</v>
      </c>
      <c r="BB1091" s="8"/>
      <c r="BC1091" s="8">
        <f t="shared" si="134"/>
        <v>34411268</v>
      </c>
      <c r="BD1091" s="4">
        <v>9257430</v>
      </c>
      <c r="BE1091" s="4">
        <f t="shared" si="135"/>
        <v>25153838</v>
      </c>
      <c r="BF1091" s="30">
        <f t="shared" si="136"/>
        <v>34411268</v>
      </c>
      <c r="BG1091" s="18">
        <f t="shared" si="137"/>
        <v>0</v>
      </c>
      <c r="BH1091" s="23"/>
      <c r="BI1091" s="23"/>
      <c r="BJ1091" s="23"/>
    </row>
    <row r="1092" spans="1:66" ht="15" customHeight="1" x14ac:dyDescent="0.2">
      <c r="A1092" s="1">
        <v>8999997092</v>
      </c>
      <c r="B1092" s="1">
        <v>899999709</v>
      </c>
      <c r="C1092" s="15">
        <v>216725867</v>
      </c>
      <c r="D1092" s="16" t="s">
        <v>560</v>
      </c>
      <c r="E1092" s="41" t="s">
        <v>1580</v>
      </c>
      <c r="F1092" s="28"/>
      <c r="G1092" s="2"/>
      <c r="H1092" s="3"/>
      <c r="I1092" s="2"/>
      <c r="J1092" s="29"/>
      <c r="K1092" s="3"/>
      <c r="L1092" s="2"/>
      <c r="M1092" s="8"/>
      <c r="N1092" s="3"/>
      <c r="O1092" s="2"/>
      <c r="P1092" s="3"/>
      <c r="Q1092" s="2"/>
      <c r="R1092" s="3"/>
      <c r="S1092" s="3"/>
      <c r="T1092" s="2"/>
      <c r="U1092" s="8">
        <f t="shared" si="141"/>
        <v>0</v>
      </c>
      <c r="V1092" s="8"/>
      <c r="W1092" s="8"/>
      <c r="X1092" s="8"/>
      <c r="Y1092" s="8"/>
      <c r="Z1092" s="8"/>
      <c r="AA1092" s="8"/>
      <c r="AB1092" s="8"/>
      <c r="AC1092" s="8">
        <f t="shared" ref="AC1092:AC1135" si="142">SUM(U1092:AB1092)</f>
        <v>0</v>
      </c>
      <c r="AD1092" s="8"/>
      <c r="AE1092" s="8"/>
      <c r="AF1092" s="8"/>
      <c r="AG1092" s="8"/>
      <c r="AH1092" s="8"/>
      <c r="AI1092" s="8"/>
      <c r="AJ1092" s="8"/>
      <c r="AK1092" s="8"/>
      <c r="AL1092" s="8"/>
      <c r="AM1092" s="8">
        <v>58840565</v>
      </c>
      <c r="AN1092" s="8">
        <f>SUBTOTAL(9,AC1092:AM1092)</f>
        <v>58840565</v>
      </c>
      <c r="AO1092" s="8"/>
      <c r="AP1092" s="8"/>
      <c r="AQ1092" s="8"/>
      <c r="AR1092" s="8"/>
      <c r="AS1092" s="8"/>
      <c r="AT1092" s="8"/>
      <c r="AU1092" s="8"/>
      <c r="AV1092" s="8"/>
      <c r="AW1092" s="8"/>
      <c r="AX1092" s="8"/>
      <c r="AY1092" s="8">
        <v>28684555</v>
      </c>
      <c r="AZ1092" s="8"/>
      <c r="BA1092" s="8"/>
      <c r="BB1092" s="8"/>
      <c r="BC1092" s="8">
        <f t="shared" ref="BC1092:BC1135" si="143">SUM(AN1092:BA1092)-BB1092</f>
        <v>87525120</v>
      </c>
      <c r="BD1092" s="4">
        <v>28684555</v>
      </c>
      <c r="BE1092" s="4">
        <f t="shared" ref="BE1092:BE1135" si="144">+AM1092+BA1092-BB1092</f>
        <v>58840565</v>
      </c>
      <c r="BF1092" s="30">
        <f t="shared" ref="BF1092:BF1135" si="145">+BD1092+BE1092</f>
        <v>87525120</v>
      </c>
      <c r="BG1092" s="18">
        <f t="shared" ref="BG1092:BG1136" si="146">+BC1092-BF1092</f>
        <v>0</v>
      </c>
      <c r="BH1092" s="23"/>
      <c r="BI1092" s="23"/>
      <c r="BJ1092" s="23"/>
    </row>
    <row r="1093" spans="1:66" ht="15" customHeight="1" x14ac:dyDescent="0.2">
      <c r="A1093" s="1">
        <v>8908011510</v>
      </c>
      <c r="B1093" s="1">
        <v>890801151</v>
      </c>
      <c r="C1093" s="15">
        <v>216717867</v>
      </c>
      <c r="D1093" s="16" t="s">
        <v>359</v>
      </c>
      <c r="E1093" s="41" t="s">
        <v>1388</v>
      </c>
      <c r="F1093" s="28"/>
      <c r="G1093" s="2"/>
      <c r="H1093" s="3"/>
      <c r="I1093" s="2"/>
      <c r="J1093" s="29"/>
      <c r="K1093" s="3"/>
      <c r="L1093" s="2"/>
      <c r="M1093" s="8"/>
      <c r="N1093" s="3"/>
      <c r="O1093" s="2"/>
      <c r="P1093" s="3"/>
      <c r="Q1093" s="2"/>
      <c r="R1093" s="3"/>
      <c r="S1093" s="3"/>
      <c r="T1093" s="2"/>
      <c r="U1093" s="8">
        <f t="shared" si="141"/>
        <v>0</v>
      </c>
      <c r="V1093" s="8"/>
      <c r="W1093" s="8"/>
      <c r="X1093" s="8"/>
      <c r="Y1093" s="8"/>
      <c r="Z1093" s="8"/>
      <c r="AA1093" s="8"/>
      <c r="AB1093" s="8"/>
      <c r="AC1093" s="8">
        <f t="shared" si="142"/>
        <v>0</v>
      </c>
      <c r="AD1093" s="8"/>
      <c r="AE1093" s="8"/>
      <c r="AF1093" s="8"/>
      <c r="AG1093" s="8"/>
      <c r="AH1093" s="8"/>
      <c r="AI1093" s="8"/>
      <c r="AJ1093" s="8"/>
      <c r="AK1093" s="8"/>
      <c r="AL1093" s="8"/>
      <c r="AM1093" s="8">
        <v>144124742</v>
      </c>
      <c r="AN1093" s="8">
        <f>SUBTOTAL(9,AC1093:AM1093)</f>
        <v>144124742</v>
      </c>
      <c r="AO1093" s="8"/>
      <c r="AP1093" s="8"/>
      <c r="AQ1093" s="8"/>
      <c r="AR1093" s="8"/>
      <c r="AS1093" s="8"/>
      <c r="AT1093" s="8"/>
      <c r="AU1093" s="8"/>
      <c r="AV1093" s="8"/>
      <c r="AW1093" s="8"/>
      <c r="AX1093" s="8"/>
      <c r="AY1093" s="8">
        <v>61716100</v>
      </c>
      <c r="AZ1093" s="8"/>
      <c r="BA1093" s="8"/>
      <c r="BB1093" s="8"/>
      <c r="BC1093" s="8">
        <f t="shared" si="143"/>
        <v>205840842</v>
      </c>
      <c r="BD1093" s="4">
        <v>61716100</v>
      </c>
      <c r="BE1093" s="4">
        <f t="shared" si="144"/>
        <v>144124742</v>
      </c>
      <c r="BF1093" s="30">
        <f t="shared" si="145"/>
        <v>205840842</v>
      </c>
      <c r="BG1093" s="18">
        <f t="shared" si="146"/>
        <v>0</v>
      </c>
      <c r="BH1093" s="23"/>
      <c r="BI1093" s="23"/>
      <c r="BJ1093" s="23"/>
    </row>
    <row r="1094" spans="1:66" ht="15" customHeight="1" x14ac:dyDescent="0.2">
      <c r="A1094" s="1">
        <v>8000206655</v>
      </c>
      <c r="B1094" s="1">
        <v>800020665</v>
      </c>
      <c r="C1094" s="15">
        <v>217305873</v>
      </c>
      <c r="D1094" s="16" t="s">
        <v>155</v>
      </c>
      <c r="E1094" s="41" t="s">
        <v>1184</v>
      </c>
      <c r="F1094" s="28"/>
      <c r="G1094" s="2"/>
      <c r="H1094" s="3"/>
      <c r="I1094" s="2"/>
      <c r="J1094" s="29"/>
      <c r="K1094" s="3"/>
      <c r="L1094" s="2"/>
      <c r="M1094" s="8"/>
      <c r="N1094" s="3"/>
      <c r="O1094" s="2"/>
      <c r="P1094" s="3"/>
      <c r="Q1094" s="2"/>
      <c r="R1094" s="3"/>
      <c r="S1094" s="3"/>
      <c r="T1094" s="2"/>
      <c r="U1094" s="8">
        <f t="shared" si="141"/>
        <v>0</v>
      </c>
      <c r="V1094" s="8"/>
      <c r="W1094" s="8"/>
      <c r="X1094" s="8"/>
      <c r="Y1094" s="8"/>
      <c r="Z1094" s="8"/>
      <c r="AA1094" s="8"/>
      <c r="AB1094" s="8"/>
      <c r="AC1094" s="8">
        <f t="shared" si="142"/>
        <v>0</v>
      </c>
      <c r="AD1094" s="8"/>
      <c r="AE1094" s="8"/>
      <c r="AF1094" s="8"/>
      <c r="AG1094" s="8"/>
      <c r="AH1094" s="8"/>
      <c r="AI1094" s="8"/>
      <c r="AJ1094" s="8"/>
      <c r="AK1094" s="8"/>
      <c r="AL1094" s="8"/>
      <c r="AM1094" s="8">
        <v>170928672</v>
      </c>
      <c r="AN1094" s="8">
        <f>SUBTOTAL(9,AC1094:AM1094)</f>
        <v>170928672</v>
      </c>
      <c r="AO1094" s="8"/>
      <c r="AP1094" s="8"/>
      <c r="AQ1094" s="8"/>
      <c r="AR1094" s="8"/>
      <c r="AS1094" s="8"/>
      <c r="AT1094" s="8"/>
      <c r="AU1094" s="8"/>
      <c r="AV1094" s="8"/>
      <c r="AW1094" s="8"/>
      <c r="AX1094" s="8"/>
      <c r="AY1094" s="8"/>
      <c r="AZ1094" s="8"/>
      <c r="BA1094" s="8"/>
      <c r="BB1094" s="8"/>
      <c r="BC1094" s="8">
        <f t="shared" si="143"/>
        <v>170928672</v>
      </c>
      <c r="BD1094" s="4"/>
      <c r="BE1094" s="4">
        <f t="shared" si="144"/>
        <v>170928672</v>
      </c>
      <c r="BF1094" s="30">
        <f t="shared" si="145"/>
        <v>170928672</v>
      </c>
      <c r="BG1094" s="18">
        <f t="shared" si="146"/>
        <v>0</v>
      </c>
      <c r="BH1094" s="23"/>
      <c r="BI1094" s="23"/>
      <c r="BJ1094" s="23"/>
    </row>
    <row r="1095" spans="1:66" ht="15" customHeight="1" x14ac:dyDescent="0.2">
      <c r="A1095" s="1">
        <v>8002430227</v>
      </c>
      <c r="B1095" s="1">
        <v>800243022</v>
      </c>
      <c r="C1095" s="15">
        <v>216976869</v>
      </c>
      <c r="D1095" s="16" t="s">
        <v>944</v>
      </c>
      <c r="E1095" s="41" t="s">
        <v>2005</v>
      </c>
      <c r="F1095" s="28"/>
      <c r="G1095" s="2"/>
      <c r="H1095" s="3"/>
      <c r="I1095" s="2"/>
      <c r="J1095" s="29"/>
      <c r="K1095" s="3"/>
      <c r="L1095" s="2"/>
      <c r="M1095" s="8"/>
      <c r="N1095" s="3"/>
      <c r="O1095" s="2"/>
      <c r="P1095" s="3"/>
      <c r="Q1095" s="2"/>
      <c r="R1095" s="3"/>
      <c r="S1095" s="3"/>
      <c r="T1095" s="2"/>
      <c r="U1095" s="8">
        <f t="shared" si="141"/>
        <v>0</v>
      </c>
      <c r="V1095" s="8"/>
      <c r="W1095" s="8"/>
      <c r="X1095" s="8"/>
      <c r="Y1095" s="8"/>
      <c r="Z1095" s="8"/>
      <c r="AA1095" s="8"/>
      <c r="AB1095" s="8"/>
      <c r="AC1095" s="8">
        <f t="shared" si="142"/>
        <v>0</v>
      </c>
      <c r="AD1095" s="8"/>
      <c r="AE1095" s="8"/>
      <c r="AF1095" s="8"/>
      <c r="AG1095" s="8"/>
      <c r="AH1095" s="8"/>
      <c r="AI1095" s="8"/>
      <c r="AJ1095" s="8"/>
      <c r="AK1095" s="8"/>
      <c r="AL1095" s="8"/>
      <c r="AM1095" s="8">
        <v>145763027</v>
      </c>
      <c r="AN1095" s="8">
        <f>SUBTOTAL(9,AC1095:AM1095)</f>
        <v>145763027</v>
      </c>
      <c r="AO1095" s="8"/>
      <c r="AP1095" s="8"/>
      <c r="AQ1095" s="8"/>
      <c r="AR1095" s="8"/>
      <c r="AS1095" s="8"/>
      <c r="AT1095" s="8"/>
      <c r="AU1095" s="8"/>
      <c r="AV1095" s="8"/>
      <c r="AW1095" s="8"/>
      <c r="AX1095" s="8"/>
      <c r="AY1095" s="8">
        <v>51662710</v>
      </c>
      <c r="AZ1095" s="8"/>
      <c r="BA1095" s="8"/>
      <c r="BB1095" s="8"/>
      <c r="BC1095" s="8">
        <f t="shared" si="143"/>
        <v>197425737</v>
      </c>
      <c r="BD1095" s="4">
        <v>51662710</v>
      </c>
      <c r="BE1095" s="4">
        <f t="shared" si="144"/>
        <v>145763027</v>
      </c>
      <c r="BF1095" s="30">
        <f t="shared" si="145"/>
        <v>197425737</v>
      </c>
      <c r="BG1095" s="18">
        <f t="shared" si="146"/>
        <v>0</v>
      </c>
      <c r="BH1095" s="23"/>
      <c r="BI1095" s="23"/>
      <c r="BJ1095" s="23"/>
    </row>
    <row r="1096" spans="1:66" ht="15" customHeight="1" x14ac:dyDescent="0.2">
      <c r="A1096" s="1">
        <v>8905019811</v>
      </c>
      <c r="B1096" s="1">
        <v>890501981</v>
      </c>
      <c r="C1096" s="15">
        <v>217154871</v>
      </c>
      <c r="D1096" s="16" t="s">
        <v>788</v>
      </c>
      <c r="E1096" s="41" t="s">
        <v>1805</v>
      </c>
      <c r="F1096" s="28"/>
      <c r="G1096" s="2"/>
      <c r="H1096" s="3"/>
      <c r="I1096" s="2"/>
      <c r="J1096" s="29"/>
      <c r="K1096" s="3"/>
      <c r="L1096" s="2"/>
      <c r="M1096" s="8"/>
      <c r="N1096" s="3"/>
      <c r="O1096" s="2"/>
      <c r="P1096" s="3"/>
      <c r="Q1096" s="2"/>
      <c r="R1096" s="3"/>
      <c r="S1096" s="3"/>
      <c r="T1096" s="2"/>
      <c r="U1096" s="8">
        <f t="shared" si="141"/>
        <v>0</v>
      </c>
      <c r="V1096" s="8"/>
      <c r="W1096" s="8"/>
      <c r="X1096" s="8"/>
      <c r="Y1096" s="8"/>
      <c r="Z1096" s="8"/>
      <c r="AA1096" s="8"/>
      <c r="AB1096" s="8"/>
      <c r="AC1096" s="8">
        <f t="shared" si="142"/>
        <v>0</v>
      </c>
      <c r="AD1096" s="8"/>
      <c r="AE1096" s="8"/>
      <c r="AF1096" s="8"/>
      <c r="AG1096" s="8"/>
      <c r="AH1096" s="8"/>
      <c r="AI1096" s="8"/>
      <c r="AJ1096" s="8"/>
      <c r="AK1096" s="8"/>
      <c r="AL1096" s="8"/>
      <c r="AM1096" s="8"/>
      <c r="AN1096" s="8"/>
      <c r="AO1096" s="8"/>
      <c r="AP1096" s="8"/>
      <c r="AQ1096" s="8"/>
      <c r="AR1096" s="8"/>
      <c r="AS1096" s="8"/>
      <c r="AT1096" s="8"/>
      <c r="AU1096" s="8"/>
      <c r="AV1096" s="8"/>
      <c r="AW1096" s="8"/>
      <c r="AX1096" s="8"/>
      <c r="AY1096" s="8">
        <v>39069305</v>
      </c>
      <c r="AZ1096" s="8"/>
      <c r="BA1096" s="8">
        <f>VLOOKUP(B1096,[1]Hoja3!J$3:K$674,2,0)</f>
        <v>80962768</v>
      </c>
      <c r="BB1096" s="8"/>
      <c r="BC1096" s="8">
        <f t="shared" si="143"/>
        <v>120032073</v>
      </c>
      <c r="BD1096" s="4">
        <v>39069305</v>
      </c>
      <c r="BE1096" s="4">
        <f t="shared" si="144"/>
        <v>80962768</v>
      </c>
      <c r="BF1096" s="30">
        <f t="shared" si="145"/>
        <v>120032073</v>
      </c>
      <c r="BG1096" s="18">
        <f t="shared" si="146"/>
        <v>0</v>
      </c>
      <c r="BH1096" s="23"/>
      <c r="BI1096" s="23"/>
      <c r="BJ1096" s="23"/>
    </row>
    <row r="1097" spans="1:66" ht="15" customHeight="1" x14ac:dyDescent="0.2">
      <c r="A1097" s="1">
        <v>8918012687</v>
      </c>
      <c r="B1097" s="1">
        <v>891801268</v>
      </c>
      <c r="C1097" s="15">
        <v>210715407</v>
      </c>
      <c r="D1097" s="16" t="s">
        <v>265</v>
      </c>
      <c r="E1097" s="41" t="s">
        <v>1299</v>
      </c>
      <c r="F1097" s="28"/>
      <c r="G1097" s="17"/>
      <c r="H1097" s="3"/>
      <c r="I1097" s="2"/>
      <c r="J1097" s="29"/>
      <c r="K1097" s="3"/>
      <c r="L1097" s="17"/>
      <c r="M1097" s="34"/>
      <c r="N1097" s="3"/>
      <c r="O1097" s="17"/>
      <c r="P1097" s="3"/>
      <c r="Q1097" s="2"/>
      <c r="R1097" s="3"/>
      <c r="S1097" s="3"/>
      <c r="T1097" s="17"/>
      <c r="U1097" s="8">
        <f t="shared" si="141"/>
        <v>0</v>
      </c>
      <c r="V1097" s="8"/>
      <c r="W1097" s="8"/>
      <c r="X1097" s="8"/>
      <c r="Y1097" s="8"/>
      <c r="Z1097" s="8"/>
      <c r="AA1097" s="8"/>
      <c r="AB1097" s="8"/>
      <c r="AC1097" s="8">
        <f t="shared" si="142"/>
        <v>0</v>
      </c>
      <c r="AD1097" s="8"/>
      <c r="AE1097" s="8"/>
      <c r="AF1097" s="8"/>
      <c r="AG1097" s="8"/>
      <c r="AH1097" s="8"/>
      <c r="AI1097" s="8"/>
      <c r="AJ1097" s="8"/>
      <c r="AK1097" s="8"/>
      <c r="AL1097" s="8"/>
      <c r="AM1097" s="8">
        <v>189304833</v>
      </c>
      <c r="AN1097" s="8">
        <f>SUBTOTAL(9,AC1097:AM1097)</f>
        <v>189304833</v>
      </c>
      <c r="AO1097" s="8"/>
      <c r="AP1097" s="8"/>
      <c r="AQ1097" s="8"/>
      <c r="AR1097" s="8"/>
      <c r="AS1097" s="8"/>
      <c r="AT1097" s="8"/>
      <c r="AU1097" s="8"/>
      <c r="AV1097" s="8"/>
      <c r="AW1097" s="8"/>
      <c r="AX1097" s="8"/>
      <c r="AY1097" s="8"/>
      <c r="AZ1097" s="8"/>
      <c r="BA1097" s="8">
        <f>VLOOKUP(B1097,[1]Hoja3!J$3:K$674,2,0)</f>
        <v>16905903</v>
      </c>
      <c r="BB1097" s="8"/>
      <c r="BC1097" s="8">
        <f t="shared" si="143"/>
        <v>206210736</v>
      </c>
      <c r="BD1097" s="4"/>
      <c r="BE1097" s="4">
        <f t="shared" si="144"/>
        <v>206210736</v>
      </c>
      <c r="BF1097" s="30">
        <f t="shared" si="145"/>
        <v>206210736</v>
      </c>
      <c r="BG1097" s="18">
        <f t="shared" si="146"/>
        <v>0</v>
      </c>
      <c r="BH1097" s="23"/>
      <c r="BI1097" s="14"/>
      <c r="BJ1097" s="14"/>
      <c r="BK1097" s="14"/>
      <c r="BL1097" s="14"/>
      <c r="BM1097" s="14"/>
      <c r="BN1097" s="14"/>
    </row>
    <row r="1098" spans="1:66" ht="15" customHeight="1" x14ac:dyDescent="0.2">
      <c r="A1098" s="1">
        <v>8001001450</v>
      </c>
      <c r="B1098" s="1">
        <v>800100145</v>
      </c>
      <c r="C1098" s="15">
        <v>217073870</v>
      </c>
      <c r="D1098" s="16" t="s">
        <v>2247</v>
      </c>
      <c r="E1098" s="41" t="s">
        <v>1972</v>
      </c>
      <c r="F1098" s="28"/>
      <c r="G1098" s="2"/>
      <c r="H1098" s="3"/>
      <c r="I1098" s="2"/>
      <c r="J1098" s="29"/>
      <c r="K1098" s="3"/>
      <c r="L1098" s="2"/>
      <c r="M1098" s="8"/>
      <c r="N1098" s="3"/>
      <c r="O1098" s="2"/>
      <c r="P1098" s="3"/>
      <c r="Q1098" s="2"/>
      <c r="R1098" s="3"/>
      <c r="S1098" s="3"/>
      <c r="T1098" s="2"/>
      <c r="U1098" s="8">
        <f t="shared" si="141"/>
        <v>0</v>
      </c>
      <c r="V1098" s="8"/>
      <c r="W1098" s="8"/>
      <c r="X1098" s="8"/>
      <c r="Y1098" s="8"/>
      <c r="Z1098" s="8"/>
      <c r="AA1098" s="8"/>
      <c r="AB1098" s="8"/>
      <c r="AC1098" s="8">
        <f t="shared" si="142"/>
        <v>0</v>
      </c>
      <c r="AD1098" s="8"/>
      <c r="AE1098" s="8"/>
      <c r="AF1098" s="8"/>
      <c r="AG1098" s="8"/>
      <c r="AH1098" s="8"/>
      <c r="AI1098" s="8"/>
      <c r="AJ1098" s="8"/>
      <c r="AK1098" s="8"/>
      <c r="AL1098" s="8"/>
      <c r="AM1098" s="8">
        <v>46066577</v>
      </c>
      <c r="AN1098" s="8">
        <f>SUBTOTAL(9,AC1098:AM1098)</f>
        <v>46066577</v>
      </c>
      <c r="AO1098" s="8"/>
      <c r="AP1098" s="8"/>
      <c r="AQ1098" s="8"/>
      <c r="AR1098" s="8"/>
      <c r="AS1098" s="8"/>
      <c r="AT1098" s="8"/>
      <c r="AU1098" s="8"/>
      <c r="AV1098" s="8"/>
      <c r="AW1098" s="8"/>
      <c r="AX1098" s="8"/>
      <c r="AY1098" s="8">
        <v>73912315</v>
      </c>
      <c r="AZ1098" s="8"/>
      <c r="BA1098" s="8">
        <f>VLOOKUP(B1098,[1]Hoja3!J$3:K$674,2,0)</f>
        <v>110311112</v>
      </c>
      <c r="BB1098" s="8"/>
      <c r="BC1098" s="8">
        <f t="shared" si="143"/>
        <v>230290004</v>
      </c>
      <c r="BD1098" s="4">
        <v>73912315</v>
      </c>
      <c r="BE1098" s="4">
        <f t="shared" si="144"/>
        <v>156377689</v>
      </c>
      <c r="BF1098" s="30">
        <f t="shared" si="145"/>
        <v>230290004</v>
      </c>
      <c r="BG1098" s="18">
        <f t="shared" si="146"/>
        <v>0</v>
      </c>
      <c r="BH1098" s="23"/>
      <c r="BI1098" s="23"/>
      <c r="BJ1098" s="23"/>
    </row>
    <row r="1099" spans="1:66" ht="15" customHeight="1" x14ac:dyDescent="0.2">
      <c r="A1099" s="1">
        <v>8170026754</v>
      </c>
      <c r="B1099" s="1">
        <v>817002675</v>
      </c>
      <c r="C1099" s="15">
        <v>214519845</v>
      </c>
      <c r="D1099" s="16" t="s">
        <v>412</v>
      </c>
      <c r="E1099" s="41" t="s">
        <v>1440</v>
      </c>
      <c r="F1099" s="28"/>
      <c r="G1099" s="2"/>
      <c r="H1099" s="3"/>
      <c r="I1099" s="2"/>
      <c r="J1099" s="29"/>
      <c r="K1099" s="3"/>
      <c r="L1099" s="2"/>
      <c r="M1099" s="8"/>
      <c r="N1099" s="3"/>
      <c r="O1099" s="2"/>
      <c r="P1099" s="3"/>
      <c r="Q1099" s="2"/>
      <c r="R1099" s="3"/>
      <c r="S1099" s="3"/>
      <c r="T1099" s="2"/>
      <c r="U1099" s="8">
        <f t="shared" si="141"/>
        <v>0</v>
      </c>
      <c r="V1099" s="8"/>
      <c r="W1099" s="8"/>
      <c r="X1099" s="8"/>
      <c r="Y1099" s="8"/>
      <c r="Z1099" s="8"/>
      <c r="AA1099" s="8"/>
      <c r="AB1099" s="8"/>
      <c r="AC1099" s="8">
        <f t="shared" si="142"/>
        <v>0</v>
      </c>
      <c r="AD1099" s="8"/>
      <c r="AE1099" s="8"/>
      <c r="AF1099" s="8"/>
      <c r="AG1099" s="8"/>
      <c r="AH1099" s="8"/>
      <c r="AI1099" s="8"/>
      <c r="AJ1099" s="8"/>
      <c r="AK1099" s="8"/>
      <c r="AL1099" s="8"/>
      <c r="AM1099" s="8">
        <v>111812754</v>
      </c>
      <c r="AN1099" s="8">
        <f>SUBTOTAL(9,AC1099:AM1099)</f>
        <v>111812754</v>
      </c>
      <c r="AO1099" s="8"/>
      <c r="AP1099" s="8"/>
      <c r="AQ1099" s="8"/>
      <c r="AR1099" s="8"/>
      <c r="AS1099" s="8"/>
      <c r="AT1099" s="8"/>
      <c r="AU1099" s="8"/>
      <c r="AV1099" s="8"/>
      <c r="AW1099" s="8"/>
      <c r="AX1099" s="8"/>
      <c r="AY1099" s="8">
        <v>98006375</v>
      </c>
      <c r="AZ1099" s="8"/>
      <c r="BA1099" s="8">
        <f>VLOOKUP(B1099,[1]Hoja3!J$3:K$674,2,0)</f>
        <v>124305869</v>
      </c>
      <c r="BB1099" s="8"/>
      <c r="BC1099" s="8">
        <f t="shared" si="143"/>
        <v>334124998</v>
      </c>
      <c r="BD1099" s="4">
        <v>98006375</v>
      </c>
      <c r="BE1099" s="4">
        <f t="shared" si="144"/>
        <v>236118623</v>
      </c>
      <c r="BF1099" s="30">
        <f t="shared" si="145"/>
        <v>334124998</v>
      </c>
      <c r="BG1099" s="18">
        <f t="shared" si="146"/>
        <v>0</v>
      </c>
      <c r="BH1099" s="23"/>
      <c r="BI1099" s="23"/>
      <c r="BJ1099" s="23"/>
    </row>
    <row r="1100" spans="1:66" ht="15" customHeight="1" x14ac:dyDescent="0.2">
      <c r="A1100" s="1">
        <v>8905033730</v>
      </c>
      <c r="B1100" s="1">
        <v>890503373</v>
      </c>
      <c r="C1100" s="15">
        <v>217454874</v>
      </c>
      <c r="D1100" s="16" t="s">
        <v>2135</v>
      </c>
      <c r="E1100" s="41" t="s">
        <v>1806</v>
      </c>
      <c r="F1100" s="28"/>
      <c r="G1100" s="2"/>
      <c r="H1100" s="3"/>
      <c r="I1100" s="2"/>
      <c r="J1100" s="29"/>
      <c r="K1100" s="3"/>
      <c r="L1100" s="2"/>
      <c r="M1100" s="8"/>
      <c r="N1100" s="3"/>
      <c r="O1100" s="2"/>
      <c r="P1100" s="3"/>
      <c r="Q1100" s="2"/>
      <c r="R1100" s="3"/>
      <c r="S1100" s="3"/>
      <c r="T1100" s="2"/>
      <c r="U1100" s="8">
        <f t="shared" si="141"/>
        <v>0</v>
      </c>
      <c r="V1100" s="8"/>
      <c r="W1100" s="8"/>
      <c r="X1100" s="8"/>
      <c r="Y1100" s="8"/>
      <c r="Z1100" s="8"/>
      <c r="AA1100" s="8"/>
      <c r="AB1100" s="8"/>
      <c r="AC1100" s="8">
        <f t="shared" si="142"/>
        <v>0</v>
      </c>
      <c r="AD1100" s="8"/>
      <c r="AE1100" s="8"/>
      <c r="AF1100" s="8"/>
      <c r="AG1100" s="8"/>
      <c r="AH1100" s="8"/>
      <c r="AI1100" s="8"/>
      <c r="AJ1100" s="8"/>
      <c r="AK1100" s="8"/>
      <c r="AL1100" s="8"/>
      <c r="AM1100" s="8">
        <v>981709611</v>
      </c>
      <c r="AN1100" s="8">
        <f>SUBTOTAL(9,AC1100:AM1100)</f>
        <v>981709611</v>
      </c>
      <c r="AO1100" s="8"/>
      <c r="AP1100" s="8"/>
      <c r="AQ1100" s="8"/>
      <c r="AR1100" s="8"/>
      <c r="AS1100" s="8"/>
      <c r="AT1100" s="8"/>
      <c r="AU1100" s="8"/>
      <c r="AV1100" s="8"/>
      <c r="AW1100" s="8"/>
      <c r="AX1100" s="8"/>
      <c r="AY1100" s="8">
        <v>392223330</v>
      </c>
      <c r="AZ1100" s="8"/>
      <c r="BA1100" s="8"/>
      <c r="BB1100" s="8"/>
      <c r="BC1100" s="8">
        <f t="shared" si="143"/>
        <v>1373932941</v>
      </c>
      <c r="BD1100" s="4">
        <v>392223330</v>
      </c>
      <c r="BE1100" s="4">
        <f t="shared" si="144"/>
        <v>981709611</v>
      </c>
      <c r="BF1100" s="30">
        <f t="shared" si="145"/>
        <v>1373932941</v>
      </c>
      <c r="BG1100" s="18">
        <f t="shared" si="146"/>
        <v>0</v>
      </c>
      <c r="BH1100" s="23"/>
      <c r="BI1100" s="23"/>
      <c r="BJ1100" s="23"/>
    </row>
    <row r="1101" spans="1:66" ht="15" customHeight="1" x14ac:dyDescent="0.2">
      <c r="A1101" s="1">
        <v>8911801872</v>
      </c>
      <c r="B1101" s="1">
        <v>891180187</v>
      </c>
      <c r="C1101" s="15">
        <v>217241872</v>
      </c>
      <c r="D1101" s="16" t="s">
        <v>627</v>
      </c>
      <c r="E1101" s="41" t="s">
        <v>1633</v>
      </c>
      <c r="F1101" s="28"/>
      <c r="G1101" s="2"/>
      <c r="H1101" s="3"/>
      <c r="I1101" s="2"/>
      <c r="J1101" s="29"/>
      <c r="K1101" s="3"/>
      <c r="L1101" s="2"/>
      <c r="M1101" s="8"/>
      <c r="N1101" s="3"/>
      <c r="O1101" s="2"/>
      <c r="P1101" s="3"/>
      <c r="Q1101" s="2"/>
      <c r="R1101" s="3"/>
      <c r="S1101" s="3"/>
      <c r="T1101" s="2"/>
      <c r="U1101" s="8">
        <f t="shared" si="141"/>
        <v>0</v>
      </c>
      <c r="V1101" s="8"/>
      <c r="W1101" s="8"/>
      <c r="X1101" s="8"/>
      <c r="Y1101" s="8"/>
      <c r="Z1101" s="8"/>
      <c r="AA1101" s="8"/>
      <c r="AB1101" s="8"/>
      <c r="AC1101" s="8">
        <f t="shared" si="142"/>
        <v>0</v>
      </c>
      <c r="AD1101" s="8"/>
      <c r="AE1101" s="8"/>
      <c r="AF1101" s="8"/>
      <c r="AG1101" s="8"/>
      <c r="AH1101" s="8"/>
      <c r="AI1101" s="8"/>
      <c r="AJ1101" s="8"/>
      <c r="AK1101" s="8"/>
      <c r="AL1101" s="8"/>
      <c r="AM1101" s="8"/>
      <c r="AN1101" s="8"/>
      <c r="AO1101" s="8"/>
      <c r="AP1101" s="8"/>
      <c r="AQ1101" s="8"/>
      <c r="AR1101" s="8"/>
      <c r="AS1101" s="8"/>
      <c r="AT1101" s="8"/>
      <c r="AU1101" s="8"/>
      <c r="AV1101" s="8"/>
      <c r="AW1101" s="8"/>
      <c r="AX1101" s="8"/>
      <c r="AY1101" s="8">
        <v>50773855</v>
      </c>
      <c r="AZ1101" s="8"/>
      <c r="BA1101" s="8">
        <f>VLOOKUP(B1101,[1]Hoja3!J$3:K$674,2,0)</f>
        <v>96636642</v>
      </c>
      <c r="BB1101" s="8"/>
      <c r="BC1101" s="8">
        <f t="shared" si="143"/>
        <v>147410497</v>
      </c>
      <c r="BD1101" s="4">
        <v>50773855</v>
      </c>
      <c r="BE1101" s="4">
        <f t="shared" si="144"/>
        <v>96636642</v>
      </c>
      <c r="BF1101" s="30">
        <f t="shared" si="145"/>
        <v>147410497</v>
      </c>
      <c r="BG1101" s="18">
        <f t="shared" si="146"/>
        <v>0</v>
      </c>
      <c r="BH1101" s="23"/>
      <c r="BI1101" s="23"/>
      <c r="BJ1101" s="23"/>
    </row>
    <row r="1102" spans="1:66" ht="15" customHeight="1" x14ac:dyDescent="0.2">
      <c r="A1102" s="1">
        <v>8000542490</v>
      </c>
      <c r="B1102" s="1">
        <v>800054249</v>
      </c>
      <c r="C1102" s="15">
        <v>218586885</v>
      </c>
      <c r="D1102" s="16" t="s">
        <v>986</v>
      </c>
      <c r="E1102" s="41" t="s">
        <v>2044</v>
      </c>
      <c r="F1102" s="28"/>
      <c r="G1102" s="2"/>
      <c r="H1102" s="3"/>
      <c r="I1102" s="2"/>
      <c r="J1102" s="29"/>
      <c r="K1102" s="3"/>
      <c r="L1102" s="2"/>
      <c r="M1102" s="8"/>
      <c r="N1102" s="3"/>
      <c r="O1102" s="2"/>
      <c r="P1102" s="3"/>
      <c r="Q1102" s="2"/>
      <c r="R1102" s="3"/>
      <c r="S1102" s="3"/>
      <c r="T1102" s="2"/>
      <c r="U1102" s="8">
        <f t="shared" si="141"/>
        <v>0</v>
      </c>
      <c r="V1102" s="8"/>
      <c r="W1102" s="8"/>
      <c r="X1102" s="8"/>
      <c r="Y1102" s="8"/>
      <c r="Z1102" s="8"/>
      <c r="AA1102" s="8"/>
      <c r="AB1102" s="8"/>
      <c r="AC1102" s="8">
        <f t="shared" si="142"/>
        <v>0</v>
      </c>
      <c r="AD1102" s="8"/>
      <c r="AE1102" s="8"/>
      <c r="AF1102" s="8"/>
      <c r="AG1102" s="8"/>
      <c r="AH1102" s="8"/>
      <c r="AI1102" s="8"/>
      <c r="AJ1102" s="8"/>
      <c r="AK1102" s="8"/>
      <c r="AL1102" s="8"/>
      <c r="AM1102" s="8">
        <v>35964653</v>
      </c>
      <c r="AN1102" s="8">
        <f t="shared" ref="AN1102:AN1107" si="147">SUBTOTAL(9,AC1102:AM1102)</f>
        <v>35964653</v>
      </c>
      <c r="AO1102" s="8"/>
      <c r="AP1102" s="8"/>
      <c r="AQ1102" s="8"/>
      <c r="AR1102" s="8"/>
      <c r="AS1102" s="8"/>
      <c r="AT1102" s="8"/>
      <c r="AU1102" s="8"/>
      <c r="AV1102" s="8"/>
      <c r="AW1102" s="8"/>
      <c r="AX1102" s="8"/>
      <c r="AY1102" s="8">
        <v>184931580</v>
      </c>
      <c r="AZ1102" s="8"/>
      <c r="BA1102" s="8">
        <f>VLOOKUP(B1102,[1]Hoja3!J$3:K$674,2,0)</f>
        <v>357475854</v>
      </c>
      <c r="BB1102" s="8"/>
      <c r="BC1102" s="8">
        <f t="shared" si="143"/>
        <v>578372087</v>
      </c>
      <c r="BD1102" s="4">
        <v>184931580</v>
      </c>
      <c r="BE1102" s="4">
        <f t="shared" si="144"/>
        <v>393440507</v>
      </c>
      <c r="BF1102" s="30">
        <f t="shared" si="145"/>
        <v>578372087</v>
      </c>
      <c r="BG1102" s="18">
        <f t="shared" si="146"/>
        <v>0</v>
      </c>
      <c r="BH1102" s="23"/>
      <c r="BI1102" s="23"/>
      <c r="BJ1102" s="23"/>
    </row>
    <row r="1103" spans="1:66" ht="15" customHeight="1" x14ac:dyDescent="0.2">
      <c r="A1103" s="1">
        <v>8999994478</v>
      </c>
      <c r="B1103" s="1">
        <v>899999447</v>
      </c>
      <c r="C1103" s="15">
        <v>217125871</v>
      </c>
      <c r="D1103" s="16" t="s">
        <v>561</v>
      </c>
      <c r="E1103" s="41" t="s">
        <v>1581</v>
      </c>
      <c r="F1103" s="28"/>
      <c r="G1103" s="2"/>
      <c r="H1103" s="3"/>
      <c r="I1103" s="2"/>
      <c r="J1103" s="29"/>
      <c r="K1103" s="3"/>
      <c r="L1103" s="2"/>
      <c r="M1103" s="8"/>
      <c r="N1103" s="3"/>
      <c r="O1103" s="2"/>
      <c r="P1103" s="3"/>
      <c r="Q1103" s="2"/>
      <c r="R1103" s="3"/>
      <c r="S1103" s="3"/>
      <c r="T1103" s="2"/>
      <c r="U1103" s="8">
        <f t="shared" si="141"/>
        <v>0</v>
      </c>
      <c r="V1103" s="8"/>
      <c r="W1103" s="8"/>
      <c r="X1103" s="8"/>
      <c r="Y1103" s="8"/>
      <c r="Z1103" s="8"/>
      <c r="AA1103" s="8"/>
      <c r="AB1103" s="8"/>
      <c r="AC1103" s="8">
        <f t="shared" si="142"/>
        <v>0</v>
      </c>
      <c r="AD1103" s="8"/>
      <c r="AE1103" s="8"/>
      <c r="AF1103" s="8"/>
      <c r="AG1103" s="8"/>
      <c r="AH1103" s="8"/>
      <c r="AI1103" s="8"/>
      <c r="AJ1103" s="8"/>
      <c r="AK1103" s="8"/>
      <c r="AL1103" s="8"/>
      <c r="AM1103" s="8">
        <v>32430830</v>
      </c>
      <c r="AN1103" s="8">
        <f t="shared" si="147"/>
        <v>32430830</v>
      </c>
      <c r="AO1103" s="8"/>
      <c r="AP1103" s="8"/>
      <c r="AQ1103" s="8"/>
      <c r="AR1103" s="8"/>
      <c r="AS1103" s="8"/>
      <c r="AT1103" s="8"/>
      <c r="AU1103" s="8"/>
      <c r="AV1103" s="8"/>
      <c r="AW1103" s="8"/>
      <c r="AX1103" s="8"/>
      <c r="AY1103" s="8">
        <v>15962375</v>
      </c>
      <c r="AZ1103" s="8"/>
      <c r="BA1103" s="8"/>
      <c r="BB1103" s="8"/>
      <c r="BC1103" s="8">
        <f t="shared" si="143"/>
        <v>48393205</v>
      </c>
      <c r="BD1103" s="4">
        <v>15962375</v>
      </c>
      <c r="BE1103" s="4">
        <f t="shared" si="144"/>
        <v>32430830</v>
      </c>
      <c r="BF1103" s="30">
        <f t="shared" si="145"/>
        <v>48393205</v>
      </c>
      <c r="BG1103" s="18">
        <f t="shared" si="146"/>
        <v>0</v>
      </c>
      <c r="BH1103" s="23"/>
      <c r="BI1103" s="23"/>
      <c r="BJ1103" s="23"/>
    </row>
    <row r="1104" spans="1:66" ht="15" customHeight="1" x14ac:dyDescent="0.2">
      <c r="A1104" s="1">
        <v>8908011528</v>
      </c>
      <c r="B1104" s="1">
        <v>890801152</v>
      </c>
      <c r="C1104" s="15">
        <v>217317873</v>
      </c>
      <c r="D1104" s="16" t="s">
        <v>360</v>
      </c>
      <c r="E1104" s="41" t="s">
        <v>1389</v>
      </c>
      <c r="F1104" s="28"/>
      <c r="G1104" s="2"/>
      <c r="H1104" s="3"/>
      <c r="I1104" s="2"/>
      <c r="J1104" s="29"/>
      <c r="K1104" s="3"/>
      <c r="L1104" s="2"/>
      <c r="M1104" s="8"/>
      <c r="N1104" s="3"/>
      <c r="O1104" s="2"/>
      <c r="P1104" s="3"/>
      <c r="Q1104" s="2"/>
      <c r="R1104" s="3"/>
      <c r="S1104" s="3"/>
      <c r="T1104" s="2"/>
      <c r="U1104" s="8">
        <f t="shared" si="141"/>
        <v>0</v>
      </c>
      <c r="V1104" s="8"/>
      <c r="W1104" s="8"/>
      <c r="X1104" s="8"/>
      <c r="Y1104" s="8"/>
      <c r="Z1104" s="8"/>
      <c r="AA1104" s="8"/>
      <c r="AB1104" s="8"/>
      <c r="AC1104" s="8">
        <f t="shared" si="142"/>
        <v>0</v>
      </c>
      <c r="AD1104" s="8"/>
      <c r="AE1104" s="8"/>
      <c r="AF1104" s="8"/>
      <c r="AG1104" s="8"/>
      <c r="AH1104" s="8"/>
      <c r="AI1104" s="8"/>
      <c r="AJ1104" s="8"/>
      <c r="AK1104" s="8"/>
      <c r="AL1104" s="8"/>
      <c r="AM1104" s="8">
        <v>532214526</v>
      </c>
      <c r="AN1104" s="8">
        <f t="shared" si="147"/>
        <v>532214526</v>
      </c>
      <c r="AO1104" s="8"/>
      <c r="AP1104" s="8"/>
      <c r="AQ1104" s="8"/>
      <c r="AR1104" s="8"/>
      <c r="AS1104" s="8"/>
      <c r="AT1104" s="8"/>
      <c r="AU1104" s="8"/>
      <c r="AV1104" s="8"/>
      <c r="AW1104" s="8"/>
      <c r="AX1104" s="8"/>
      <c r="AY1104" s="8">
        <v>244317745</v>
      </c>
      <c r="AZ1104" s="8"/>
      <c r="BA1104" s="8"/>
      <c r="BB1104" s="8"/>
      <c r="BC1104" s="8">
        <f t="shared" si="143"/>
        <v>776532271</v>
      </c>
      <c r="BD1104" s="4">
        <v>244317745</v>
      </c>
      <c r="BE1104" s="4">
        <f t="shared" si="144"/>
        <v>532214526</v>
      </c>
      <c r="BF1104" s="30">
        <f t="shared" si="145"/>
        <v>776532271</v>
      </c>
      <c r="BG1104" s="18">
        <f t="shared" si="146"/>
        <v>0</v>
      </c>
      <c r="BH1104" s="23"/>
      <c r="BI1104" s="23"/>
      <c r="BJ1104" s="23"/>
    </row>
    <row r="1105" spans="1:66" ht="15" customHeight="1" x14ac:dyDescent="0.2">
      <c r="A1105" s="1">
        <v>8904811928</v>
      </c>
      <c r="B1105" s="1">
        <v>890481192</v>
      </c>
      <c r="C1105" s="15">
        <v>217313873</v>
      </c>
      <c r="D1105" s="16" t="s">
        <v>215</v>
      </c>
      <c r="E1105" s="41" t="s">
        <v>1250</v>
      </c>
      <c r="F1105" s="28"/>
      <c r="G1105" s="17"/>
      <c r="H1105" s="3"/>
      <c r="I1105" s="2"/>
      <c r="J1105" s="29"/>
      <c r="K1105" s="3"/>
      <c r="L1105" s="17"/>
      <c r="M1105" s="34"/>
      <c r="N1105" s="3"/>
      <c r="O1105" s="17"/>
      <c r="P1105" s="3"/>
      <c r="Q1105" s="2"/>
      <c r="R1105" s="3"/>
      <c r="S1105" s="3"/>
      <c r="T1105" s="17"/>
      <c r="U1105" s="8">
        <f t="shared" si="141"/>
        <v>0</v>
      </c>
      <c r="V1105" s="8"/>
      <c r="W1105" s="8"/>
      <c r="X1105" s="8"/>
      <c r="Y1105" s="8"/>
      <c r="Z1105" s="8"/>
      <c r="AA1105" s="8"/>
      <c r="AB1105" s="8"/>
      <c r="AC1105" s="8">
        <f t="shared" si="142"/>
        <v>0</v>
      </c>
      <c r="AD1105" s="8"/>
      <c r="AE1105" s="8"/>
      <c r="AF1105" s="8"/>
      <c r="AG1105" s="8"/>
      <c r="AH1105" s="8"/>
      <c r="AI1105" s="8"/>
      <c r="AJ1105" s="8"/>
      <c r="AK1105" s="8"/>
      <c r="AL1105" s="8"/>
      <c r="AM1105" s="8">
        <v>192637648</v>
      </c>
      <c r="AN1105" s="8">
        <f t="shared" si="147"/>
        <v>192637648</v>
      </c>
      <c r="AO1105" s="8"/>
      <c r="AP1105" s="8"/>
      <c r="AQ1105" s="8"/>
      <c r="AR1105" s="8"/>
      <c r="AS1105" s="8"/>
      <c r="AT1105" s="8"/>
      <c r="AU1105" s="8"/>
      <c r="AV1105" s="8"/>
      <c r="AW1105" s="8"/>
      <c r="AX1105" s="8"/>
      <c r="AY1105" s="8">
        <v>282192805</v>
      </c>
      <c r="AZ1105" s="8"/>
      <c r="BA1105" s="8">
        <f>VLOOKUP(B1105,[1]Hoja3!J$3:K$674,2,0)</f>
        <v>143028556</v>
      </c>
      <c r="BB1105" s="8"/>
      <c r="BC1105" s="8">
        <f t="shared" si="143"/>
        <v>617859009</v>
      </c>
      <c r="BD1105" s="4">
        <v>282192805</v>
      </c>
      <c r="BE1105" s="4">
        <f t="shared" si="144"/>
        <v>335666204</v>
      </c>
      <c r="BF1105" s="30">
        <f t="shared" si="145"/>
        <v>617859009</v>
      </c>
      <c r="BG1105" s="18">
        <f t="shared" si="146"/>
        <v>0</v>
      </c>
      <c r="BH1105" s="23"/>
      <c r="BI1105" s="14"/>
      <c r="BJ1105" s="14"/>
      <c r="BK1105" s="14"/>
      <c r="BL1105" s="14"/>
      <c r="BM1105" s="14"/>
      <c r="BN1105" s="14"/>
    </row>
    <row r="1106" spans="1:66" ht="15" customHeight="1" x14ac:dyDescent="0.2">
      <c r="A1106" s="1">
        <v>8920994757</v>
      </c>
      <c r="B1106" s="1">
        <v>892099475</v>
      </c>
      <c r="C1106" s="15">
        <v>214085440</v>
      </c>
      <c r="D1106" s="16" t="s">
        <v>973</v>
      </c>
      <c r="E1106" s="41" t="s">
        <v>2033</v>
      </c>
      <c r="F1106" s="28"/>
      <c r="G1106" s="2"/>
      <c r="H1106" s="3"/>
      <c r="I1106" s="2"/>
      <c r="J1106" s="29"/>
      <c r="K1106" s="3"/>
      <c r="L1106" s="2"/>
      <c r="M1106" s="8"/>
      <c r="N1106" s="3"/>
      <c r="O1106" s="2"/>
      <c r="P1106" s="3"/>
      <c r="Q1106" s="2"/>
      <c r="R1106" s="3"/>
      <c r="S1106" s="3"/>
      <c r="T1106" s="2"/>
      <c r="U1106" s="8">
        <f t="shared" si="141"/>
        <v>0</v>
      </c>
      <c r="V1106" s="8"/>
      <c r="W1106" s="8"/>
      <c r="X1106" s="8"/>
      <c r="Y1106" s="8"/>
      <c r="Z1106" s="8"/>
      <c r="AA1106" s="8"/>
      <c r="AB1106" s="8"/>
      <c r="AC1106" s="8">
        <f t="shared" si="142"/>
        <v>0</v>
      </c>
      <c r="AD1106" s="8"/>
      <c r="AE1106" s="8"/>
      <c r="AF1106" s="8"/>
      <c r="AG1106" s="8"/>
      <c r="AH1106" s="8"/>
      <c r="AI1106" s="8"/>
      <c r="AJ1106" s="8"/>
      <c r="AK1106" s="8"/>
      <c r="AL1106" s="8"/>
      <c r="AM1106" s="8">
        <v>487784841</v>
      </c>
      <c r="AN1106" s="8">
        <f t="shared" si="147"/>
        <v>487784841</v>
      </c>
      <c r="AO1106" s="8"/>
      <c r="AP1106" s="8"/>
      <c r="AQ1106" s="8"/>
      <c r="AR1106" s="8"/>
      <c r="AS1106" s="8"/>
      <c r="AT1106" s="8"/>
      <c r="AU1106" s="8"/>
      <c r="AV1106" s="8"/>
      <c r="AW1106" s="8"/>
      <c r="AX1106" s="8"/>
      <c r="AY1106" s="8">
        <v>190116935</v>
      </c>
      <c r="AZ1106" s="8"/>
      <c r="BA1106" s="8"/>
      <c r="BB1106" s="8">
        <f>VLOOKUP(B1106,'[2]anuladas en mayo gratuidad}'!K$2:L$55,2,0)</f>
        <v>163166213</v>
      </c>
      <c r="BC1106" s="8">
        <f t="shared" si="143"/>
        <v>514735563</v>
      </c>
      <c r="BD1106" s="4">
        <v>190116935</v>
      </c>
      <c r="BE1106" s="4">
        <f t="shared" si="144"/>
        <v>324618628</v>
      </c>
      <c r="BF1106" s="30">
        <f t="shared" si="145"/>
        <v>514735563</v>
      </c>
      <c r="BG1106" s="18">
        <f t="shared" si="146"/>
        <v>0</v>
      </c>
      <c r="BH1106" s="23"/>
      <c r="BI1106" s="23"/>
      <c r="BJ1106" s="23"/>
    </row>
    <row r="1107" spans="1:66" ht="15" customHeight="1" x14ac:dyDescent="0.2">
      <c r="A1107" s="1">
        <v>8921151980</v>
      </c>
      <c r="B1107" s="1">
        <v>892115198</v>
      </c>
      <c r="C1107" s="15">
        <v>217444874</v>
      </c>
      <c r="D1107" s="16" t="s">
        <v>639</v>
      </c>
      <c r="E1107" s="41" t="s">
        <v>1659</v>
      </c>
      <c r="F1107" s="28"/>
      <c r="G1107" s="2"/>
      <c r="H1107" s="3"/>
      <c r="I1107" s="2"/>
      <c r="J1107" s="29"/>
      <c r="K1107" s="3"/>
      <c r="L1107" s="2"/>
      <c r="M1107" s="8"/>
      <c r="N1107" s="3"/>
      <c r="O1107" s="2"/>
      <c r="P1107" s="3"/>
      <c r="Q1107" s="2"/>
      <c r="R1107" s="3"/>
      <c r="S1107" s="3"/>
      <c r="T1107" s="2"/>
      <c r="U1107" s="8">
        <f t="shared" si="141"/>
        <v>0</v>
      </c>
      <c r="V1107" s="8"/>
      <c r="W1107" s="8"/>
      <c r="X1107" s="8"/>
      <c r="Y1107" s="8"/>
      <c r="Z1107" s="8"/>
      <c r="AA1107" s="8"/>
      <c r="AB1107" s="8"/>
      <c r="AC1107" s="8">
        <f t="shared" si="142"/>
        <v>0</v>
      </c>
      <c r="AD1107" s="8"/>
      <c r="AE1107" s="8"/>
      <c r="AF1107" s="8"/>
      <c r="AG1107" s="8"/>
      <c r="AH1107" s="8"/>
      <c r="AI1107" s="8"/>
      <c r="AJ1107" s="8"/>
      <c r="AK1107" s="8"/>
      <c r="AL1107" s="8"/>
      <c r="AM1107" s="8">
        <v>347775107</v>
      </c>
      <c r="AN1107" s="8">
        <f t="shared" si="147"/>
        <v>347775107</v>
      </c>
      <c r="AO1107" s="8"/>
      <c r="AP1107" s="8"/>
      <c r="AQ1107" s="8"/>
      <c r="AR1107" s="8"/>
      <c r="AS1107" s="8"/>
      <c r="AT1107" s="8"/>
      <c r="AU1107" s="8"/>
      <c r="AV1107" s="8"/>
      <c r="AW1107" s="8"/>
      <c r="AX1107" s="8"/>
      <c r="AY1107" s="8">
        <v>185916855</v>
      </c>
      <c r="AZ1107" s="8"/>
      <c r="BA1107" s="8"/>
      <c r="BB1107" s="8"/>
      <c r="BC1107" s="8">
        <f t="shared" si="143"/>
        <v>533691962</v>
      </c>
      <c r="BD1107" s="4">
        <v>185916855</v>
      </c>
      <c r="BE1107" s="4">
        <f t="shared" si="144"/>
        <v>347775107</v>
      </c>
      <c r="BF1107" s="30">
        <f t="shared" si="145"/>
        <v>533691962</v>
      </c>
      <c r="BG1107" s="18">
        <f t="shared" si="146"/>
        <v>0</v>
      </c>
      <c r="BH1107" s="23"/>
      <c r="BI1107" s="23"/>
      <c r="BJ1107" s="23"/>
    </row>
    <row r="1108" spans="1:66" ht="15" customHeight="1" x14ac:dyDescent="0.2">
      <c r="A1108" s="1">
        <v>8902062501</v>
      </c>
      <c r="B1108" s="1">
        <v>890206250</v>
      </c>
      <c r="C1108" s="15">
        <v>217268872</v>
      </c>
      <c r="D1108" s="16" t="s">
        <v>888</v>
      </c>
      <c r="E1108" s="41" t="s">
        <v>1903</v>
      </c>
      <c r="F1108" s="28"/>
      <c r="G1108" s="2"/>
      <c r="H1108" s="3"/>
      <c r="I1108" s="2"/>
      <c r="J1108" s="29"/>
      <c r="K1108" s="3"/>
      <c r="L1108" s="2"/>
      <c r="M1108" s="8"/>
      <c r="N1108" s="3"/>
      <c r="O1108" s="2"/>
      <c r="P1108" s="3"/>
      <c r="Q1108" s="2"/>
      <c r="R1108" s="3"/>
      <c r="S1108" s="3"/>
      <c r="T1108" s="2"/>
      <c r="U1108" s="8">
        <f t="shared" si="141"/>
        <v>0</v>
      </c>
      <c r="V1108" s="8"/>
      <c r="W1108" s="8"/>
      <c r="X1108" s="8"/>
      <c r="Y1108" s="8"/>
      <c r="Z1108" s="8"/>
      <c r="AA1108" s="8"/>
      <c r="AB1108" s="8"/>
      <c r="AC1108" s="8">
        <f t="shared" si="142"/>
        <v>0</v>
      </c>
      <c r="AD1108" s="8"/>
      <c r="AE1108" s="8"/>
      <c r="AF1108" s="8"/>
      <c r="AG1108" s="8"/>
      <c r="AH1108" s="8"/>
      <c r="AI1108" s="8"/>
      <c r="AJ1108" s="8"/>
      <c r="AK1108" s="8"/>
      <c r="AL1108" s="8"/>
      <c r="AM1108" s="8"/>
      <c r="AN1108" s="8"/>
      <c r="AO1108" s="8"/>
      <c r="AP1108" s="8"/>
      <c r="AQ1108" s="8"/>
      <c r="AR1108" s="8"/>
      <c r="AS1108" s="8"/>
      <c r="AT1108" s="8"/>
      <c r="AU1108" s="8"/>
      <c r="AV1108" s="8"/>
      <c r="AW1108" s="8"/>
      <c r="AX1108" s="8"/>
      <c r="AY1108" s="8">
        <v>36279575</v>
      </c>
      <c r="AZ1108" s="8"/>
      <c r="BA1108" s="8">
        <f>VLOOKUP(B1108,[1]Hoja3!J$3:K$674,2,0)</f>
        <v>87595712</v>
      </c>
      <c r="BB1108" s="8"/>
      <c r="BC1108" s="8">
        <f t="shared" si="143"/>
        <v>123875287</v>
      </c>
      <c r="BD1108" s="4">
        <v>36279575</v>
      </c>
      <c r="BE1108" s="4">
        <f t="shared" si="144"/>
        <v>87595712</v>
      </c>
      <c r="BF1108" s="30">
        <f t="shared" si="145"/>
        <v>123875287</v>
      </c>
      <c r="BG1108" s="18">
        <f t="shared" si="146"/>
        <v>0</v>
      </c>
      <c r="BH1108" s="23"/>
      <c r="BI1108" s="23"/>
      <c r="BJ1108" s="23"/>
    </row>
    <row r="1109" spans="1:66" ht="15" customHeight="1" x14ac:dyDescent="0.2">
      <c r="A1109" s="1">
        <v>8999994453</v>
      </c>
      <c r="B1109" s="1">
        <v>899999445</v>
      </c>
      <c r="C1109" s="15">
        <v>217325873</v>
      </c>
      <c r="D1109" s="16" t="s">
        <v>562</v>
      </c>
      <c r="E1109" s="41" t="s">
        <v>1582</v>
      </c>
      <c r="F1109" s="28"/>
      <c r="G1109" s="2"/>
      <c r="H1109" s="3"/>
      <c r="I1109" s="2"/>
      <c r="J1109" s="29"/>
      <c r="K1109" s="3"/>
      <c r="L1109" s="2"/>
      <c r="M1109" s="8"/>
      <c r="N1109" s="3"/>
      <c r="O1109" s="2"/>
      <c r="P1109" s="3"/>
      <c r="Q1109" s="2"/>
      <c r="R1109" s="3"/>
      <c r="S1109" s="3"/>
      <c r="T1109" s="2"/>
      <c r="U1109" s="8">
        <f t="shared" si="141"/>
        <v>0</v>
      </c>
      <c r="V1109" s="8"/>
      <c r="W1109" s="8"/>
      <c r="X1109" s="8"/>
      <c r="Y1109" s="8"/>
      <c r="Z1109" s="8"/>
      <c r="AA1109" s="8"/>
      <c r="AB1109" s="8"/>
      <c r="AC1109" s="8">
        <f t="shared" si="142"/>
        <v>0</v>
      </c>
      <c r="AD1109" s="8"/>
      <c r="AE1109" s="8"/>
      <c r="AF1109" s="8"/>
      <c r="AG1109" s="8"/>
      <c r="AH1109" s="8"/>
      <c r="AI1109" s="8"/>
      <c r="AJ1109" s="8"/>
      <c r="AK1109" s="8"/>
      <c r="AL1109" s="8"/>
      <c r="AM1109" s="8">
        <v>305690894</v>
      </c>
      <c r="AN1109" s="8">
        <f>SUBTOTAL(9,AC1109:AM1109)</f>
        <v>305690894</v>
      </c>
      <c r="AO1109" s="8"/>
      <c r="AP1109" s="8"/>
      <c r="AQ1109" s="8"/>
      <c r="AR1109" s="8"/>
      <c r="AS1109" s="8"/>
      <c r="AT1109" s="8"/>
      <c r="AU1109" s="8"/>
      <c r="AV1109" s="8"/>
      <c r="AW1109" s="8"/>
      <c r="AX1109" s="8"/>
      <c r="AY1109" s="8">
        <v>118047335</v>
      </c>
      <c r="AZ1109" s="8"/>
      <c r="BA1109" s="8"/>
      <c r="BB1109" s="8"/>
      <c r="BC1109" s="8">
        <f t="shared" si="143"/>
        <v>423738229</v>
      </c>
      <c r="BD1109" s="4">
        <v>118047335</v>
      </c>
      <c r="BE1109" s="4">
        <f t="shared" si="144"/>
        <v>305690894</v>
      </c>
      <c r="BF1109" s="30">
        <f t="shared" si="145"/>
        <v>423738229</v>
      </c>
      <c r="BG1109" s="18">
        <f t="shared" si="146"/>
        <v>0</v>
      </c>
      <c r="BH1109" s="23"/>
      <c r="BI1109" s="23"/>
      <c r="BJ1109" s="23"/>
    </row>
    <row r="1110" spans="1:66" ht="15" customHeight="1" x14ac:dyDescent="0.2">
      <c r="A1110" s="1">
        <v>8001001475</v>
      </c>
      <c r="B1110" s="1">
        <v>800100147</v>
      </c>
      <c r="C1110" s="15">
        <v>217373873</v>
      </c>
      <c r="D1110" s="16" t="s">
        <v>2245</v>
      </c>
      <c r="E1110" s="41" t="s">
        <v>1973</v>
      </c>
      <c r="F1110" s="28"/>
      <c r="G1110" s="2"/>
      <c r="H1110" s="3"/>
      <c r="I1110" s="2"/>
      <c r="J1110" s="29"/>
      <c r="K1110" s="3"/>
      <c r="L1110" s="2"/>
      <c r="M1110" s="8"/>
      <c r="N1110" s="3"/>
      <c r="O1110" s="2"/>
      <c r="P1110" s="3"/>
      <c r="Q1110" s="2"/>
      <c r="R1110" s="3"/>
      <c r="S1110" s="3"/>
      <c r="T1110" s="2"/>
      <c r="U1110" s="8">
        <f t="shared" si="141"/>
        <v>0</v>
      </c>
      <c r="V1110" s="8"/>
      <c r="W1110" s="8"/>
      <c r="X1110" s="8"/>
      <c r="Y1110" s="8"/>
      <c r="Z1110" s="8"/>
      <c r="AA1110" s="8"/>
      <c r="AB1110" s="8"/>
      <c r="AC1110" s="8">
        <f t="shared" si="142"/>
        <v>0</v>
      </c>
      <c r="AD1110" s="8"/>
      <c r="AE1110" s="8"/>
      <c r="AF1110" s="8"/>
      <c r="AG1110" s="8"/>
      <c r="AH1110" s="8"/>
      <c r="AI1110" s="8"/>
      <c r="AJ1110" s="8"/>
      <c r="AK1110" s="8"/>
      <c r="AL1110" s="8"/>
      <c r="AM1110" s="8"/>
      <c r="AN1110" s="8"/>
      <c r="AO1110" s="8"/>
      <c r="AP1110" s="8"/>
      <c r="AQ1110" s="8"/>
      <c r="AR1110" s="8"/>
      <c r="AS1110" s="8"/>
      <c r="AT1110" s="8"/>
      <c r="AU1110" s="8"/>
      <c r="AV1110" s="8"/>
      <c r="AW1110" s="8"/>
      <c r="AX1110" s="8"/>
      <c r="AY1110" s="8">
        <v>40496205</v>
      </c>
      <c r="AZ1110" s="8"/>
      <c r="BA1110" s="8">
        <f>VLOOKUP(B1110,[1]Hoja3!J$3:K$674,2,0)</f>
        <v>88327437</v>
      </c>
      <c r="BB1110" s="8"/>
      <c r="BC1110" s="8">
        <f t="shared" si="143"/>
        <v>128823642</v>
      </c>
      <c r="BD1110" s="4">
        <v>40496205</v>
      </c>
      <c r="BE1110" s="4">
        <f t="shared" si="144"/>
        <v>88327437</v>
      </c>
      <c r="BF1110" s="30">
        <f t="shared" si="145"/>
        <v>128823642</v>
      </c>
      <c r="BG1110" s="18">
        <f t="shared" si="146"/>
        <v>0</v>
      </c>
      <c r="BH1110" s="23"/>
      <c r="BI1110" s="23"/>
      <c r="BJ1110" s="23"/>
    </row>
    <row r="1111" spans="1:66" ht="15" customHeight="1" x14ac:dyDescent="0.2">
      <c r="A1111" s="1">
        <v>8920993243</v>
      </c>
      <c r="B1111" s="1">
        <v>892099324</v>
      </c>
      <c r="C1111" s="15">
        <v>210150001</v>
      </c>
      <c r="D1111" s="16" t="s">
        <v>2194</v>
      </c>
      <c r="E1111" s="53" t="s">
        <v>2107</v>
      </c>
      <c r="F1111" s="28"/>
      <c r="G1111" s="2"/>
      <c r="H1111" s="3"/>
      <c r="I1111" s="2">
        <f>10066179853+228153551</f>
        <v>10294333404</v>
      </c>
      <c r="J1111" s="29">
        <v>704021281</v>
      </c>
      <c r="K1111" s="3">
        <v>1398752738</v>
      </c>
      <c r="L1111" s="2"/>
      <c r="M1111" s="37">
        <f>SUM(F1111:L1111)</f>
        <v>12397107423</v>
      </c>
      <c r="N1111" s="3"/>
      <c r="O1111" s="2"/>
      <c r="P1111" s="3"/>
      <c r="Q1111" s="2">
        <f>9585788734+103706160</f>
        <v>9689494894</v>
      </c>
      <c r="R1111" s="3">
        <v>706921513</v>
      </c>
      <c r="S1111" s="3">
        <f>694731457+706921513</f>
        <v>1401652970</v>
      </c>
      <c r="T1111" s="2"/>
      <c r="U1111" s="8">
        <f t="shared" si="141"/>
        <v>24195176800</v>
      </c>
      <c r="V1111" s="8"/>
      <c r="W1111" s="8"/>
      <c r="X1111" s="8"/>
      <c r="Y1111" s="8">
        <v>20271128059</v>
      </c>
      <c r="Z1111" s="8">
        <v>694081273</v>
      </c>
      <c r="AA1111" s="8">
        <v>1608707446</v>
      </c>
      <c r="AB1111" s="8"/>
      <c r="AC1111" s="8">
        <f t="shared" si="142"/>
        <v>46769093578</v>
      </c>
      <c r="AD1111" s="8"/>
      <c r="AE1111" s="8"/>
      <c r="AF1111" s="8"/>
      <c r="AG1111" s="8"/>
      <c r="AH1111" s="8">
        <v>10320711719</v>
      </c>
      <c r="AI1111" s="8">
        <v>2344044749</v>
      </c>
      <c r="AJ1111" s="8">
        <v>721464257</v>
      </c>
      <c r="AK1111" s="8">
        <v>1819010628</v>
      </c>
      <c r="AL1111" s="8"/>
      <c r="AM1111" s="8">
        <v>4863958901</v>
      </c>
      <c r="AN1111" s="8">
        <f t="shared" ref="AN1111:AN1118" si="148">SUBTOTAL(9,AC1111:AM1111)</f>
        <v>66838283832</v>
      </c>
      <c r="AO1111" s="8"/>
      <c r="AP1111" s="8"/>
      <c r="AQ1111" s="8">
        <v>1532697165</v>
      </c>
      <c r="AR1111" s="8"/>
      <c r="AS1111" s="8"/>
      <c r="AT1111" s="8">
        <v>10320711719</v>
      </c>
      <c r="AU1111" s="8"/>
      <c r="AV1111" s="8">
        <v>721464257</v>
      </c>
      <c r="AW1111" s="8">
        <v>1231954036</v>
      </c>
      <c r="AX1111" s="8"/>
      <c r="AY1111" s="8"/>
      <c r="AZ1111" s="8">
        <v>1025585355</v>
      </c>
      <c r="BA1111" s="8">
        <f>VLOOKUP(B1111,[1]Hoja3!J$3:K$674,2,0)</f>
        <v>370086615</v>
      </c>
      <c r="BB1111" s="8"/>
      <c r="BC1111" s="8">
        <f t="shared" si="143"/>
        <v>82040782979</v>
      </c>
      <c r="BD1111" s="4">
        <v>76806737463</v>
      </c>
      <c r="BE1111" s="4">
        <f t="shared" si="144"/>
        <v>5234045516</v>
      </c>
      <c r="BF1111" s="30">
        <f t="shared" si="145"/>
        <v>82040782979</v>
      </c>
      <c r="BG1111" s="18">
        <f t="shared" si="146"/>
        <v>0</v>
      </c>
      <c r="BH1111" s="23"/>
      <c r="BI1111" s="23"/>
      <c r="BJ1111" s="23"/>
    </row>
    <row r="1112" spans="1:66" ht="15" customHeight="1" x14ac:dyDescent="0.2">
      <c r="A1112" s="1">
        <v>8999993122</v>
      </c>
      <c r="B1112" s="1">
        <v>899999312</v>
      </c>
      <c r="C1112" s="15">
        <v>217525875</v>
      </c>
      <c r="D1112" s="16" t="s">
        <v>563</v>
      </c>
      <c r="E1112" s="41" t="s">
        <v>1583</v>
      </c>
      <c r="F1112" s="28"/>
      <c r="G1112" s="2"/>
      <c r="H1112" s="3"/>
      <c r="I1112" s="2"/>
      <c r="J1112" s="29"/>
      <c r="K1112" s="3"/>
      <c r="L1112" s="2"/>
      <c r="M1112" s="8"/>
      <c r="N1112" s="3"/>
      <c r="O1112" s="2"/>
      <c r="P1112" s="3"/>
      <c r="Q1112" s="2"/>
      <c r="R1112" s="3"/>
      <c r="S1112" s="3"/>
      <c r="T1112" s="2"/>
      <c r="U1112" s="8">
        <f t="shared" si="141"/>
        <v>0</v>
      </c>
      <c r="V1112" s="8"/>
      <c r="W1112" s="8"/>
      <c r="X1112" s="8"/>
      <c r="Y1112" s="8"/>
      <c r="Z1112" s="8"/>
      <c r="AA1112" s="8"/>
      <c r="AB1112" s="8"/>
      <c r="AC1112" s="8">
        <f t="shared" si="142"/>
        <v>0</v>
      </c>
      <c r="AD1112" s="8"/>
      <c r="AE1112" s="8"/>
      <c r="AF1112" s="8"/>
      <c r="AG1112" s="8"/>
      <c r="AH1112" s="8"/>
      <c r="AI1112" s="8"/>
      <c r="AJ1112" s="8"/>
      <c r="AK1112" s="8"/>
      <c r="AL1112" s="8"/>
      <c r="AM1112" s="8">
        <v>330960237</v>
      </c>
      <c r="AN1112" s="8">
        <f t="shared" si="148"/>
        <v>330960237</v>
      </c>
      <c r="AO1112" s="8"/>
      <c r="AP1112" s="8"/>
      <c r="AQ1112" s="8"/>
      <c r="AR1112" s="8"/>
      <c r="AS1112" s="8"/>
      <c r="AT1112" s="8"/>
      <c r="AU1112" s="8"/>
      <c r="AV1112" s="8"/>
      <c r="AW1112" s="8"/>
      <c r="AX1112" s="8"/>
      <c r="AY1112" s="8">
        <v>151574925</v>
      </c>
      <c r="AZ1112" s="8"/>
      <c r="BA1112" s="8"/>
      <c r="BB1112" s="8"/>
      <c r="BC1112" s="8">
        <f t="shared" si="143"/>
        <v>482535162</v>
      </c>
      <c r="BD1112" s="4">
        <v>151574925</v>
      </c>
      <c r="BE1112" s="4">
        <f t="shared" si="144"/>
        <v>330960237</v>
      </c>
      <c r="BF1112" s="30">
        <f t="shared" si="145"/>
        <v>482535162</v>
      </c>
      <c r="BG1112" s="18">
        <f t="shared" si="146"/>
        <v>0</v>
      </c>
      <c r="BH1112" s="23"/>
      <c r="BI1112" s="23"/>
      <c r="BJ1112" s="23"/>
    </row>
    <row r="1113" spans="1:66" ht="15" customHeight="1" x14ac:dyDescent="0.2">
      <c r="A1113" s="1">
        <v>8906801423</v>
      </c>
      <c r="B1113" s="1">
        <v>890680142</v>
      </c>
      <c r="C1113" s="15">
        <v>217825878</v>
      </c>
      <c r="D1113" s="16" t="s">
        <v>564</v>
      </c>
      <c r="E1113" s="41" t="s">
        <v>1495</v>
      </c>
      <c r="F1113" s="28"/>
      <c r="G1113" s="2"/>
      <c r="H1113" s="3"/>
      <c r="I1113" s="2"/>
      <c r="J1113" s="29"/>
      <c r="K1113" s="3"/>
      <c r="L1113" s="2"/>
      <c r="M1113" s="8"/>
      <c r="N1113" s="3"/>
      <c r="O1113" s="2"/>
      <c r="P1113" s="3"/>
      <c r="Q1113" s="2"/>
      <c r="R1113" s="3"/>
      <c r="S1113" s="3"/>
      <c r="T1113" s="2"/>
      <c r="U1113" s="8">
        <f t="shared" si="141"/>
        <v>0</v>
      </c>
      <c r="V1113" s="8"/>
      <c r="W1113" s="8"/>
      <c r="X1113" s="8"/>
      <c r="Y1113" s="8"/>
      <c r="Z1113" s="8"/>
      <c r="AA1113" s="8"/>
      <c r="AB1113" s="8"/>
      <c r="AC1113" s="8">
        <f t="shared" si="142"/>
        <v>0</v>
      </c>
      <c r="AD1113" s="8"/>
      <c r="AE1113" s="8"/>
      <c r="AF1113" s="8"/>
      <c r="AG1113" s="8"/>
      <c r="AH1113" s="8"/>
      <c r="AI1113" s="8"/>
      <c r="AJ1113" s="8"/>
      <c r="AK1113" s="8"/>
      <c r="AL1113" s="8"/>
      <c r="AM1113" s="8">
        <v>227083608</v>
      </c>
      <c r="AN1113" s="8">
        <f t="shared" si="148"/>
        <v>227083608</v>
      </c>
      <c r="AO1113" s="8"/>
      <c r="AP1113" s="8"/>
      <c r="AQ1113" s="8"/>
      <c r="AR1113" s="8"/>
      <c r="AS1113" s="8"/>
      <c r="AT1113" s="8"/>
      <c r="AU1113" s="8"/>
      <c r="AV1113" s="8"/>
      <c r="AW1113" s="8"/>
      <c r="AX1113" s="8"/>
      <c r="AY1113" s="8">
        <v>99128230</v>
      </c>
      <c r="AZ1113" s="8"/>
      <c r="BA1113" s="8"/>
      <c r="BB1113" s="8"/>
      <c r="BC1113" s="8">
        <f t="shared" si="143"/>
        <v>326211838</v>
      </c>
      <c r="BD1113" s="4">
        <v>99128230</v>
      </c>
      <c r="BE1113" s="4">
        <f t="shared" si="144"/>
        <v>227083608</v>
      </c>
      <c r="BF1113" s="30">
        <f t="shared" si="145"/>
        <v>326211838</v>
      </c>
      <c r="BG1113" s="18">
        <f t="shared" si="146"/>
        <v>0</v>
      </c>
      <c r="BH1113" s="23"/>
      <c r="BI1113" s="23"/>
      <c r="BJ1113" s="23"/>
    </row>
    <row r="1114" spans="1:66" ht="15" customHeight="1" x14ac:dyDescent="0.2">
      <c r="A1114" s="1">
        <v>8918013470</v>
      </c>
      <c r="B1114" s="1">
        <v>891801347</v>
      </c>
      <c r="C1114" s="15">
        <v>217915879</v>
      </c>
      <c r="D1114" s="16" t="s">
        <v>334</v>
      </c>
      <c r="E1114" s="41" t="s">
        <v>1365</v>
      </c>
      <c r="F1114" s="28"/>
      <c r="G1114" s="17"/>
      <c r="H1114" s="3"/>
      <c r="I1114" s="2"/>
      <c r="J1114" s="29"/>
      <c r="K1114" s="3"/>
      <c r="L1114" s="17"/>
      <c r="M1114" s="34"/>
      <c r="N1114" s="3"/>
      <c r="O1114" s="17"/>
      <c r="P1114" s="3"/>
      <c r="Q1114" s="2"/>
      <c r="R1114" s="3"/>
      <c r="S1114" s="3"/>
      <c r="T1114" s="17"/>
      <c r="U1114" s="8">
        <f t="shared" si="141"/>
        <v>0</v>
      </c>
      <c r="V1114" s="8"/>
      <c r="W1114" s="8"/>
      <c r="X1114" s="8"/>
      <c r="Y1114" s="8"/>
      <c r="Z1114" s="8"/>
      <c r="AA1114" s="8"/>
      <c r="AB1114" s="8"/>
      <c r="AC1114" s="8">
        <f t="shared" si="142"/>
        <v>0</v>
      </c>
      <c r="AD1114" s="8"/>
      <c r="AE1114" s="8"/>
      <c r="AF1114" s="8"/>
      <c r="AG1114" s="8"/>
      <c r="AH1114" s="8"/>
      <c r="AI1114" s="8"/>
      <c r="AJ1114" s="8"/>
      <c r="AK1114" s="8"/>
      <c r="AL1114" s="8"/>
      <c r="AM1114" s="8">
        <v>36419046</v>
      </c>
      <c r="AN1114" s="8">
        <f t="shared" si="148"/>
        <v>36419046</v>
      </c>
      <c r="AO1114" s="8"/>
      <c r="AP1114" s="8"/>
      <c r="AQ1114" s="8"/>
      <c r="AR1114" s="8"/>
      <c r="AS1114" s="8"/>
      <c r="AT1114" s="8"/>
      <c r="AU1114" s="8"/>
      <c r="AV1114" s="8"/>
      <c r="AW1114" s="8"/>
      <c r="AX1114" s="8"/>
      <c r="AY1114" s="8">
        <v>21474250</v>
      </c>
      <c r="AZ1114" s="8"/>
      <c r="BA1114" s="8"/>
      <c r="BB1114" s="8"/>
      <c r="BC1114" s="8">
        <f t="shared" si="143"/>
        <v>57893296</v>
      </c>
      <c r="BD1114" s="4">
        <v>21474250</v>
      </c>
      <c r="BE1114" s="4">
        <f t="shared" si="144"/>
        <v>36419046</v>
      </c>
      <c r="BF1114" s="30">
        <f t="shared" si="145"/>
        <v>57893296</v>
      </c>
      <c r="BG1114" s="18">
        <f t="shared" si="146"/>
        <v>0</v>
      </c>
      <c r="BH1114" s="23"/>
      <c r="BI1114" s="14"/>
      <c r="BJ1114" s="14"/>
      <c r="BK1114" s="14"/>
      <c r="BL1114" s="14"/>
      <c r="BM1114" s="14"/>
      <c r="BN1114" s="14"/>
    </row>
    <row r="1115" spans="1:66" ht="15" customHeight="1" x14ac:dyDescent="0.2">
      <c r="A1115" s="1">
        <v>8920991738</v>
      </c>
      <c r="B1115" s="1">
        <v>892099173</v>
      </c>
      <c r="C1115" s="15">
        <v>211150711</v>
      </c>
      <c r="D1115" s="16" t="s">
        <v>691</v>
      </c>
      <c r="E1115" s="41" t="s">
        <v>1714</v>
      </c>
      <c r="F1115" s="28"/>
      <c r="G1115" s="2"/>
      <c r="H1115" s="3"/>
      <c r="I1115" s="2"/>
      <c r="J1115" s="29"/>
      <c r="K1115" s="3"/>
      <c r="L1115" s="2"/>
      <c r="M1115" s="8"/>
      <c r="N1115" s="3"/>
      <c r="O1115" s="2"/>
      <c r="P1115" s="3"/>
      <c r="Q1115" s="2"/>
      <c r="R1115" s="3"/>
      <c r="S1115" s="3"/>
      <c r="T1115" s="2"/>
      <c r="U1115" s="8">
        <f t="shared" si="141"/>
        <v>0</v>
      </c>
      <c r="V1115" s="8"/>
      <c r="W1115" s="8"/>
      <c r="X1115" s="8"/>
      <c r="Y1115" s="8"/>
      <c r="Z1115" s="8"/>
      <c r="AA1115" s="8"/>
      <c r="AB1115" s="8"/>
      <c r="AC1115" s="8">
        <f t="shared" si="142"/>
        <v>0</v>
      </c>
      <c r="AD1115" s="8"/>
      <c r="AE1115" s="8"/>
      <c r="AF1115" s="8"/>
      <c r="AG1115" s="8"/>
      <c r="AH1115" s="8"/>
      <c r="AI1115" s="8"/>
      <c r="AJ1115" s="8"/>
      <c r="AK1115" s="8"/>
      <c r="AL1115" s="8"/>
      <c r="AM1115" s="8">
        <v>252874053</v>
      </c>
      <c r="AN1115" s="8">
        <f t="shared" si="148"/>
        <v>252874053</v>
      </c>
      <c r="AO1115" s="8"/>
      <c r="AP1115" s="8"/>
      <c r="AQ1115" s="8"/>
      <c r="AR1115" s="8"/>
      <c r="AS1115" s="8"/>
      <c r="AT1115" s="8"/>
      <c r="AU1115" s="8"/>
      <c r="AV1115" s="8"/>
      <c r="AW1115" s="8"/>
      <c r="AX1115" s="8"/>
      <c r="AY1115" s="8">
        <v>185749355</v>
      </c>
      <c r="AZ1115" s="8"/>
      <c r="BA1115" s="8">
        <f>VLOOKUP(B1115,[1]Hoja3!J$3:K$674,2,0)</f>
        <v>56936022</v>
      </c>
      <c r="BB1115" s="8"/>
      <c r="BC1115" s="8">
        <f t="shared" si="143"/>
        <v>495559430</v>
      </c>
      <c r="BD1115" s="4">
        <v>185749355</v>
      </c>
      <c r="BE1115" s="4">
        <f t="shared" si="144"/>
        <v>309810075</v>
      </c>
      <c r="BF1115" s="30">
        <f t="shared" si="145"/>
        <v>495559430</v>
      </c>
      <c r="BG1115" s="18">
        <f t="shared" si="146"/>
        <v>0</v>
      </c>
      <c r="BH1115" s="23"/>
      <c r="BI1115" s="23"/>
      <c r="BJ1115" s="23"/>
    </row>
    <row r="1116" spans="1:66" ht="15" customHeight="1" x14ac:dyDescent="0.2">
      <c r="A1116" s="1">
        <v>8000908335</v>
      </c>
      <c r="B1116" s="1">
        <v>800090833</v>
      </c>
      <c r="C1116" s="15">
        <v>217717877</v>
      </c>
      <c r="D1116" s="16" t="s">
        <v>361</v>
      </c>
      <c r="E1116" s="41" t="s">
        <v>1390</v>
      </c>
      <c r="F1116" s="28"/>
      <c r="G1116" s="2"/>
      <c r="H1116" s="3"/>
      <c r="I1116" s="2"/>
      <c r="J1116" s="29"/>
      <c r="K1116" s="3"/>
      <c r="L1116" s="2"/>
      <c r="M1116" s="8"/>
      <c r="N1116" s="3"/>
      <c r="O1116" s="2"/>
      <c r="P1116" s="3"/>
      <c r="Q1116" s="2"/>
      <c r="R1116" s="3"/>
      <c r="S1116" s="3"/>
      <c r="T1116" s="2"/>
      <c r="U1116" s="8">
        <f t="shared" si="141"/>
        <v>0</v>
      </c>
      <c r="V1116" s="8"/>
      <c r="W1116" s="8"/>
      <c r="X1116" s="8"/>
      <c r="Y1116" s="8"/>
      <c r="Z1116" s="8"/>
      <c r="AA1116" s="8"/>
      <c r="AB1116" s="8"/>
      <c r="AC1116" s="8">
        <f t="shared" si="142"/>
        <v>0</v>
      </c>
      <c r="AD1116" s="8"/>
      <c r="AE1116" s="8"/>
      <c r="AF1116" s="8"/>
      <c r="AG1116" s="8"/>
      <c r="AH1116" s="8"/>
      <c r="AI1116" s="8"/>
      <c r="AJ1116" s="8"/>
      <c r="AK1116" s="8"/>
      <c r="AL1116" s="8"/>
      <c r="AM1116" s="8">
        <v>167721517</v>
      </c>
      <c r="AN1116" s="8">
        <f t="shared" si="148"/>
        <v>167721517</v>
      </c>
      <c r="AO1116" s="8"/>
      <c r="AP1116" s="8"/>
      <c r="AQ1116" s="8"/>
      <c r="AR1116" s="8"/>
      <c r="AS1116" s="8"/>
      <c r="AT1116" s="8"/>
      <c r="AU1116" s="8"/>
      <c r="AV1116" s="8"/>
      <c r="AW1116" s="8"/>
      <c r="AX1116" s="8"/>
      <c r="AY1116" s="8">
        <v>103238090</v>
      </c>
      <c r="AZ1116" s="8"/>
      <c r="BA1116" s="8"/>
      <c r="BB1116" s="8"/>
      <c r="BC1116" s="8">
        <f t="shared" si="143"/>
        <v>270959607</v>
      </c>
      <c r="BD1116" s="4">
        <v>103238090</v>
      </c>
      <c r="BE1116" s="4">
        <f t="shared" si="144"/>
        <v>167721517</v>
      </c>
      <c r="BF1116" s="30">
        <f t="shared" si="145"/>
        <v>270959607</v>
      </c>
      <c r="BG1116" s="18">
        <f t="shared" si="146"/>
        <v>0</v>
      </c>
      <c r="BH1116" s="23"/>
      <c r="BI1116" s="23"/>
      <c r="BJ1116" s="23"/>
    </row>
    <row r="1117" spans="1:66" ht="15" customHeight="1" x14ac:dyDescent="0.2">
      <c r="A1117" s="1">
        <v>8000947761</v>
      </c>
      <c r="B1117" s="1">
        <v>800094776</v>
      </c>
      <c r="C1117" s="15">
        <v>218525885</v>
      </c>
      <c r="D1117" s="16" t="s">
        <v>565</v>
      </c>
      <c r="E1117" s="41" t="s">
        <v>1584</v>
      </c>
      <c r="F1117" s="28"/>
      <c r="G1117" s="2"/>
      <c r="H1117" s="3"/>
      <c r="I1117" s="2"/>
      <c r="J1117" s="29"/>
      <c r="K1117" s="3"/>
      <c r="L1117" s="2"/>
      <c r="M1117" s="8"/>
      <c r="N1117" s="3"/>
      <c r="O1117" s="2"/>
      <c r="P1117" s="3"/>
      <c r="Q1117" s="2"/>
      <c r="R1117" s="3"/>
      <c r="S1117" s="3"/>
      <c r="T1117" s="2"/>
      <c r="U1117" s="8">
        <f t="shared" si="141"/>
        <v>0</v>
      </c>
      <c r="V1117" s="8"/>
      <c r="W1117" s="8"/>
      <c r="X1117" s="8"/>
      <c r="Y1117" s="8"/>
      <c r="Z1117" s="8"/>
      <c r="AA1117" s="8"/>
      <c r="AB1117" s="8"/>
      <c r="AC1117" s="8">
        <f t="shared" si="142"/>
        <v>0</v>
      </c>
      <c r="AD1117" s="8"/>
      <c r="AE1117" s="8"/>
      <c r="AF1117" s="8"/>
      <c r="AG1117" s="8"/>
      <c r="AH1117" s="8"/>
      <c r="AI1117" s="8"/>
      <c r="AJ1117" s="8"/>
      <c r="AK1117" s="8"/>
      <c r="AL1117" s="8"/>
      <c r="AM1117" s="8">
        <v>206134750</v>
      </c>
      <c r="AN1117" s="8">
        <f t="shared" si="148"/>
        <v>206134750</v>
      </c>
      <c r="AO1117" s="8"/>
      <c r="AP1117" s="8"/>
      <c r="AQ1117" s="8"/>
      <c r="AR1117" s="8"/>
      <c r="AS1117" s="8"/>
      <c r="AT1117" s="8"/>
      <c r="AU1117" s="8"/>
      <c r="AV1117" s="8"/>
      <c r="AW1117" s="8"/>
      <c r="AX1117" s="8"/>
      <c r="AY1117" s="8">
        <v>136628930</v>
      </c>
      <c r="AZ1117" s="8"/>
      <c r="BA1117" s="8"/>
      <c r="BB1117" s="8"/>
      <c r="BC1117" s="8">
        <f t="shared" si="143"/>
        <v>342763680</v>
      </c>
      <c r="BD1117" s="4">
        <v>136628930</v>
      </c>
      <c r="BE1117" s="4">
        <f t="shared" si="144"/>
        <v>206134750</v>
      </c>
      <c r="BF1117" s="30">
        <f t="shared" si="145"/>
        <v>342763680</v>
      </c>
      <c r="BG1117" s="18">
        <f t="shared" si="146"/>
        <v>0</v>
      </c>
      <c r="BH1117" s="23"/>
      <c r="BI1117" s="23"/>
      <c r="BJ1117" s="23"/>
    </row>
    <row r="1118" spans="1:66" ht="15" customHeight="1" x14ac:dyDescent="0.2">
      <c r="A1118" s="1">
        <v>8000991536</v>
      </c>
      <c r="B1118" s="1">
        <v>800099153</v>
      </c>
      <c r="C1118" s="15">
        <v>218552885</v>
      </c>
      <c r="D1118" s="16" t="s">
        <v>750</v>
      </c>
      <c r="E1118" s="41" t="s">
        <v>1771</v>
      </c>
      <c r="F1118" s="28"/>
      <c r="G1118" s="2"/>
      <c r="H1118" s="3"/>
      <c r="I1118" s="2"/>
      <c r="J1118" s="29"/>
      <c r="K1118" s="3"/>
      <c r="L1118" s="2"/>
      <c r="M1118" s="8"/>
      <c r="N1118" s="3"/>
      <c r="O1118" s="2"/>
      <c r="P1118" s="3"/>
      <c r="Q1118" s="2"/>
      <c r="R1118" s="3"/>
      <c r="S1118" s="3"/>
      <c r="T1118" s="2"/>
      <c r="U1118" s="8">
        <f t="shared" si="141"/>
        <v>0</v>
      </c>
      <c r="V1118" s="8"/>
      <c r="W1118" s="8"/>
      <c r="X1118" s="8"/>
      <c r="Y1118" s="8"/>
      <c r="Z1118" s="8"/>
      <c r="AA1118" s="8"/>
      <c r="AB1118" s="8"/>
      <c r="AC1118" s="8">
        <f t="shared" si="142"/>
        <v>0</v>
      </c>
      <c r="AD1118" s="8"/>
      <c r="AE1118" s="8"/>
      <c r="AF1118" s="8"/>
      <c r="AG1118" s="8"/>
      <c r="AH1118" s="8"/>
      <c r="AI1118" s="8"/>
      <c r="AJ1118" s="8"/>
      <c r="AK1118" s="8"/>
      <c r="AL1118" s="8"/>
      <c r="AM1118" s="8">
        <v>66776655</v>
      </c>
      <c r="AN1118" s="8">
        <f t="shared" si="148"/>
        <v>66776655</v>
      </c>
      <c r="AO1118" s="8"/>
      <c r="AP1118" s="8"/>
      <c r="AQ1118" s="8"/>
      <c r="AR1118" s="8"/>
      <c r="AS1118" s="8"/>
      <c r="AT1118" s="8"/>
      <c r="AU1118" s="8"/>
      <c r="AV1118" s="8"/>
      <c r="AW1118" s="8"/>
      <c r="AX1118" s="8"/>
      <c r="AY1118" s="8">
        <v>85356410</v>
      </c>
      <c r="AZ1118" s="8"/>
      <c r="BA1118" s="8">
        <f>VLOOKUP(B1118,[1]Hoja3!J$3:K$674,2,0)</f>
        <v>83254660</v>
      </c>
      <c r="BB1118" s="8"/>
      <c r="BC1118" s="8">
        <f t="shared" si="143"/>
        <v>235387725</v>
      </c>
      <c r="BD1118" s="4">
        <v>85356410</v>
      </c>
      <c r="BE1118" s="4">
        <f t="shared" si="144"/>
        <v>150031315</v>
      </c>
      <c r="BF1118" s="30">
        <f t="shared" si="145"/>
        <v>235387725</v>
      </c>
      <c r="BG1118" s="18">
        <f t="shared" si="146"/>
        <v>0</v>
      </c>
      <c r="BH1118" s="23"/>
      <c r="BI1118" s="23"/>
      <c r="BJ1118" s="23"/>
    </row>
    <row r="1119" spans="1:66" ht="15" customHeight="1" x14ac:dyDescent="0.2">
      <c r="A1119" s="1">
        <v>8000971806</v>
      </c>
      <c r="B1119" s="1">
        <v>800097180</v>
      </c>
      <c r="C1119" s="15">
        <v>218541885</v>
      </c>
      <c r="D1119" s="16" t="s">
        <v>628</v>
      </c>
      <c r="E1119" s="41" t="s">
        <v>1647</v>
      </c>
      <c r="F1119" s="28"/>
      <c r="G1119" s="2"/>
      <c r="H1119" s="3"/>
      <c r="I1119" s="2"/>
      <c r="J1119" s="29"/>
      <c r="K1119" s="3"/>
      <c r="L1119" s="2"/>
      <c r="M1119" s="8"/>
      <c r="N1119" s="3"/>
      <c r="O1119" s="2"/>
      <c r="P1119" s="3"/>
      <c r="Q1119" s="2"/>
      <c r="R1119" s="3"/>
      <c r="S1119" s="3"/>
      <c r="T1119" s="2"/>
      <c r="U1119" s="8">
        <f t="shared" si="141"/>
        <v>0</v>
      </c>
      <c r="V1119" s="8"/>
      <c r="W1119" s="8"/>
      <c r="X1119" s="8"/>
      <c r="Y1119" s="8"/>
      <c r="Z1119" s="8"/>
      <c r="AA1119" s="8"/>
      <c r="AB1119" s="8"/>
      <c r="AC1119" s="8">
        <f t="shared" si="142"/>
        <v>0</v>
      </c>
      <c r="AD1119" s="8"/>
      <c r="AE1119" s="8"/>
      <c r="AF1119" s="8"/>
      <c r="AG1119" s="8"/>
      <c r="AH1119" s="8"/>
      <c r="AI1119" s="8"/>
      <c r="AJ1119" s="8"/>
      <c r="AK1119" s="8"/>
      <c r="AL1119" s="8"/>
      <c r="AM1119" s="8"/>
      <c r="AN1119" s="8"/>
      <c r="AO1119" s="8"/>
      <c r="AP1119" s="8"/>
      <c r="AQ1119" s="8"/>
      <c r="AR1119" s="8"/>
      <c r="AS1119" s="8"/>
      <c r="AT1119" s="8"/>
      <c r="AU1119" s="8"/>
      <c r="AV1119" s="8"/>
      <c r="AW1119" s="8"/>
      <c r="AX1119" s="8"/>
      <c r="AY1119" s="8"/>
      <c r="AZ1119" s="8"/>
      <c r="BA1119" s="8">
        <f>VLOOKUP(B1119,[1]Hoja3!J$3:K$674,2,0)</f>
        <v>93372835</v>
      </c>
      <c r="BB1119" s="8"/>
      <c r="BC1119" s="8">
        <f t="shared" si="143"/>
        <v>93372835</v>
      </c>
      <c r="BD1119" s="4"/>
      <c r="BE1119" s="4">
        <f t="shared" si="144"/>
        <v>93372835</v>
      </c>
      <c r="BF1119" s="30">
        <f t="shared" si="145"/>
        <v>93372835</v>
      </c>
      <c r="BG1119" s="18">
        <f t="shared" si="146"/>
        <v>0</v>
      </c>
      <c r="BH1119" s="23"/>
      <c r="BI1119" s="23"/>
      <c r="BJ1119" s="23"/>
    </row>
    <row r="1120" spans="1:66" ht="15" customHeight="1" x14ac:dyDescent="0.2">
      <c r="A1120" s="1">
        <v>8909809648</v>
      </c>
      <c r="B1120" s="1">
        <v>890980964</v>
      </c>
      <c r="C1120" s="15">
        <v>218505885</v>
      </c>
      <c r="D1120" s="16" t="s">
        <v>156</v>
      </c>
      <c r="E1120" s="41" t="s">
        <v>1185</v>
      </c>
      <c r="F1120" s="28"/>
      <c r="G1120" s="2"/>
      <c r="H1120" s="3"/>
      <c r="I1120" s="2"/>
      <c r="J1120" s="29"/>
      <c r="K1120" s="3"/>
      <c r="L1120" s="2"/>
      <c r="M1120" s="8"/>
      <c r="N1120" s="3"/>
      <c r="O1120" s="2"/>
      <c r="P1120" s="3"/>
      <c r="Q1120" s="2"/>
      <c r="R1120" s="3"/>
      <c r="S1120" s="3"/>
      <c r="T1120" s="2"/>
      <c r="U1120" s="8">
        <f t="shared" si="141"/>
        <v>0</v>
      </c>
      <c r="V1120" s="8"/>
      <c r="W1120" s="8"/>
      <c r="X1120" s="8"/>
      <c r="Y1120" s="8"/>
      <c r="Z1120" s="8"/>
      <c r="AA1120" s="8"/>
      <c r="AB1120" s="8"/>
      <c r="AC1120" s="8">
        <f t="shared" si="142"/>
        <v>0</v>
      </c>
      <c r="AD1120" s="8"/>
      <c r="AE1120" s="8"/>
      <c r="AF1120" s="8"/>
      <c r="AG1120" s="8"/>
      <c r="AH1120" s="8"/>
      <c r="AI1120" s="8"/>
      <c r="AJ1120" s="8"/>
      <c r="AK1120" s="8"/>
      <c r="AL1120" s="8"/>
      <c r="AM1120" s="8">
        <v>87218377</v>
      </c>
      <c r="AN1120" s="8">
        <f>SUBTOTAL(9,AC1120:AM1120)</f>
        <v>87218377</v>
      </c>
      <c r="AO1120" s="8"/>
      <c r="AP1120" s="8"/>
      <c r="AQ1120" s="8"/>
      <c r="AR1120" s="8"/>
      <c r="AS1120" s="8"/>
      <c r="AT1120" s="8"/>
      <c r="AU1120" s="8"/>
      <c r="AV1120" s="8"/>
      <c r="AW1120" s="8"/>
      <c r="AX1120" s="8"/>
      <c r="AY1120" s="8"/>
      <c r="AZ1120" s="8"/>
      <c r="BA1120" s="8"/>
      <c r="BB1120" s="8"/>
      <c r="BC1120" s="8">
        <f t="shared" si="143"/>
        <v>87218377</v>
      </c>
      <c r="BD1120" s="4"/>
      <c r="BE1120" s="4">
        <f t="shared" si="144"/>
        <v>87218377</v>
      </c>
      <c r="BF1120" s="30">
        <f t="shared" si="145"/>
        <v>87218377</v>
      </c>
      <c r="BG1120" s="18">
        <f t="shared" si="146"/>
        <v>0</v>
      </c>
      <c r="BH1120" s="23"/>
      <c r="BI1120" s="23"/>
      <c r="BJ1120" s="23"/>
    </row>
    <row r="1121" spans="1:82" ht="15" customHeight="1" x14ac:dyDescent="0.2">
      <c r="A1121" s="1">
        <v>8909800961</v>
      </c>
      <c r="B1121" s="1">
        <v>890980096</v>
      </c>
      <c r="C1121" s="15">
        <v>218705887</v>
      </c>
      <c r="D1121" s="16" t="s">
        <v>157</v>
      </c>
      <c r="E1121" s="41" t="s">
        <v>1186</v>
      </c>
      <c r="F1121" s="28"/>
      <c r="G1121" s="2"/>
      <c r="H1121" s="3"/>
      <c r="I1121" s="2"/>
      <c r="J1121" s="29"/>
      <c r="K1121" s="3"/>
      <c r="L1121" s="2"/>
      <c r="M1121" s="8"/>
      <c r="N1121" s="3"/>
      <c r="O1121" s="2"/>
      <c r="P1121" s="3"/>
      <c r="Q1121" s="2"/>
      <c r="R1121" s="3"/>
      <c r="S1121" s="3"/>
      <c r="T1121" s="2"/>
      <c r="U1121" s="8">
        <f t="shared" si="141"/>
        <v>0</v>
      </c>
      <c r="V1121" s="8"/>
      <c r="W1121" s="8"/>
      <c r="X1121" s="8"/>
      <c r="Y1121" s="8"/>
      <c r="Z1121" s="8"/>
      <c r="AA1121" s="8"/>
      <c r="AB1121" s="8"/>
      <c r="AC1121" s="8">
        <f t="shared" si="142"/>
        <v>0</v>
      </c>
      <c r="AD1121" s="8"/>
      <c r="AE1121" s="8"/>
      <c r="AF1121" s="8"/>
      <c r="AG1121" s="8"/>
      <c r="AH1121" s="8"/>
      <c r="AI1121" s="8"/>
      <c r="AJ1121" s="8"/>
      <c r="AK1121" s="8"/>
      <c r="AL1121" s="8"/>
      <c r="AM1121" s="8">
        <v>327416025</v>
      </c>
      <c r="AN1121" s="8">
        <f>SUBTOTAL(9,AC1121:AM1121)</f>
        <v>327416025</v>
      </c>
      <c r="AO1121" s="8"/>
      <c r="AP1121" s="8"/>
      <c r="AQ1121" s="8"/>
      <c r="AR1121" s="8"/>
      <c r="AS1121" s="8"/>
      <c r="AT1121" s="8"/>
      <c r="AU1121" s="8"/>
      <c r="AV1121" s="8"/>
      <c r="AW1121" s="8"/>
      <c r="AX1121" s="8"/>
      <c r="AY1121" s="8"/>
      <c r="AZ1121" s="8"/>
      <c r="BA1121" s="8">
        <f>VLOOKUP(B1121,[1]Hoja3!J$3:K$674,2,0)</f>
        <v>268153906</v>
      </c>
      <c r="BB1121" s="8">
        <f>VLOOKUP(B1121,'[2]anuladas en mayo gratuidad}'!K$2:L$55,2,0)</f>
        <v>231554402</v>
      </c>
      <c r="BC1121" s="8">
        <f t="shared" si="143"/>
        <v>364015529</v>
      </c>
      <c r="BD1121" s="4"/>
      <c r="BE1121" s="4">
        <f t="shared" si="144"/>
        <v>364015529</v>
      </c>
      <c r="BF1121" s="30">
        <f t="shared" si="145"/>
        <v>364015529</v>
      </c>
      <c r="BG1121" s="18">
        <f t="shared" si="146"/>
        <v>0</v>
      </c>
      <c r="BH1121" s="23"/>
      <c r="BI1121" s="23"/>
      <c r="BJ1121" s="23"/>
    </row>
    <row r="1122" spans="1:82" ht="15" customHeight="1" x14ac:dyDescent="0.2">
      <c r="A1122" s="1">
        <v>8909840302</v>
      </c>
      <c r="B1122" s="1">
        <v>890984030</v>
      </c>
      <c r="C1122" s="15">
        <v>219005890</v>
      </c>
      <c r="D1122" s="16" t="s">
        <v>158</v>
      </c>
      <c r="E1122" s="41" t="s">
        <v>1187</v>
      </c>
      <c r="F1122" s="28"/>
      <c r="G1122" s="2"/>
      <c r="H1122" s="3"/>
      <c r="I1122" s="2"/>
      <c r="J1122" s="29"/>
      <c r="K1122" s="3"/>
      <c r="L1122" s="2"/>
      <c r="M1122" s="8"/>
      <c r="N1122" s="3"/>
      <c r="O1122" s="2"/>
      <c r="P1122" s="3"/>
      <c r="Q1122" s="2"/>
      <c r="R1122" s="3"/>
      <c r="S1122" s="3"/>
      <c r="T1122" s="2"/>
      <c r="U1122" s="8">
        <f t="shared" si="141"/>
        <v>0</v>
      </c>
      <c r="V1122" s="8"/>
      <c r="W1122" s="8"/>
      <c r="X1122" s="8"/>
      <c r="Y1122" s="8"/>
      <c r="Z1122" s="8"/>
      <c r="AA1122" s="8"/>
      <c r="AB1122" s="8"/>
      <c r="AC1122" s="8">
        <f t="shared" si="142"/>
        <v>0</v>
      </c>
      <c r="AD1122" s="8"/>
      <c r="AE1122" s="8"/>
      <c r="AF1122" s="8"/>
      <c r="AG1122" s="8"/>
      <c r="AH1122" s="8"/>
      <c r="AI1122" s="8"/>
      <c r="AJ1122" s="8"/>
      <c r="AK1122" s="8"/>
      <c r="AL1122" s="8"/>
      <c r="AM1122" s="8">
        <v>323173178</v>
      </c>
      <c r="AN1122" s="8">
        <f>SUBTOTAL(9,AC1122:AM1122)</f>
        <v>323173178</v>
      </c>
      <c r="AO1122" s="8"/>
      <c r="AP1122" s="8"/>
      <c r="AQ1122" s="8"/>
      <c r="AR1122" s="8"/>
      <c r="AS1122" s="8"/>
      <c r="AT1122" s="8"/>
      <c r="AU1122" s="8"/>
      <c r="AV1122" s="8"/>
      <c r="AW1122" s="8"/>
      <c r="AX1122" s="8"/>
      <c r="AY1122" s="8">
        <v>140614525</v>
      </c>
      <c r="AZ1122" s="8"/>
      <c r="BA1122" s="8"/>
      <c r="BB1122" s="8"/>
      <c r="BC1122" s="8">
        <f t="shared" si="143"/>
        <v>463787703</v>
      </c>
      <c r="BD1122" s="4">
        <v>140614525</v>
      </c>
      <c r="BE1122" s="4">
        <f t="shared" si="144"/>
        <v>323173178</v>
      </c>
      <c r="BF1122" s="30">
        <f t="shared" si="145"/>
        <v>463787703</v>
      </c>
      <c r="BG1122" s="18">
        <f t="shared" si="146"/>
        <v>0</v>
      </c>
      <c r="BH1122" s="23"/>
      <c r="BI1122" s="23"/>
      <c r="BJ1122" s="23"/>
    </row>
    <row r="1123" spans="1:82" ht="15" customHeight="1" x14ac:dyDescent="0.2">
      <c r="A1123" s="1">
        <v>8909842656</v>
      </c>
      <c r="B1123" s="1">
        <v>890984265</v>
      </c>
      <c r="C1123" s="15">
        <v>219305893</v>
      </c>
      <c r="D1123" s="16" t="s">
        <v>159</v>
      </c>
      <c r="E1123" s="42" t="s">
        <v>2064</v>
      </c>
      <c r="F1123" s="28"/>
      <c r="G1123" s="2"/>
      <c r="H1123" s="3"/>
      <c r="I1123" s="2"/>
      <c r="J1123" s="29"/>
      <c r="K1123" s="3"/>
      <c r="L1123" s="2"/>
      <c r="M1123" s="8"/>
      <c r="N1123" s="3"/>
      <c r="O1123" s="2"/>
      <c r="P1123" s="3"/>
      <c r="Q1123" s="2"/>
      <c r="R1123" s="3"/>
      <c r="S1123" s="3"/>
      <c r="T1123" s="2"/>
      <c r="U1123" s="8">
        <f t="shared" si="141"/>
        <v>0</v>
      </c>
      <c r="V1123" s="8"/>
      <c r="W1123" s="8"/>
      <c r="X1123" s="8"/>
      <c r="Y1123" s="8"/>
      <c r="Z1123" s="8"/>
      <c r="AA1123" s="8"/>
      <c r="AB1123" s="8"/>
      <c r="AC1123" s="8">
        <f t="shared" si="142"/>
        <v>0</v>
      </c>
      <c r="AD1123" s="8"/>
      <c r="AE1123" s="8"/>
      <c r="AF1123" s="8"/>
      <c r="AG1123" s="8"/>
      <c r="AH1123" s="8"/>
      <c r="AI1123" s="8"/>
      <c r="AJ1123" s="8"/>
      <c r="AK1123" s="8"/>
      <c r="AL1123" s="8"/>
      <c r="AM1123" s="8"/>
      <c r="AN1123" s="8"/>
      <c r="AO1123" s="8"/>
      <c r="AP1123" s="8"/>
      <c r="AQ1123" s="8"/>
      <c r="AR1123" s="8"/>
      <c r="AS1123" s="8"/>
      <c r="AT1123" s="8"/>
      <c r="AU1123" s="8"/>
      <c r="AV1123" s="8"/>
      <c r="AW1123" s="8"/>
      <c r="AX1123" s="8"/>
      <c r="AY1123" s="8">
        <v>149269715</v>
      </c>
      <c r="AZ1123" s="8"/>
      <c r="BA1123" s="8">
        <f>VLOOKUP(B1123,[1]Hoja3!J$3:K$674,2,0)</f>
        <v>250479459</v>
      </c>
      <c r="BB1123" s="8"/>
      <c r="BC1123" s="8">
        <f t="shared" si="143"/>
        <v>399749174</v>
      </c>
      <c r="BD1123" s="4">
        <v>149269715</v>
      </c>
      <c r="BE1123" s="4">
        <f t="shared" si="144"/>
        <v>250479459</v>
      </c>
      <c r="BF1123" s="30">
        <f t="shared" si="145"/>
        <v>399749174</v>
      </c>
      <c r="BG1123" s="18">
        <f t="shared" si="146"/>
        <v>0</v>
      </c>
      <c r="BH1123" s="23"/>
      <c r="BI1123" s="23"/>
      <c r="BJ1123" s="23"/>
    </row>
    <row r="1124" spans="1:82" ht="15" customHeight="1" x14ac:dyDescent="0.2">
      <c r="A1124" s="1">
        <v>8918550177</v>
      </c>
      <c r="B1124" s="1">
        <v>891855017</v>
      </c>
      <c r="C1124" s="15">
        <v>210185001</v>
      </c>
      <c r="D1124" s="16" t="s">
        <v>955</v>
      </c>
      <c r="E1124" s="53" t="s">
        <v>2016</v>
      </c>
      <c r="F1124" s="28"/>
      <c r="G1124" s="2"/>
      <c r="H1124" s="3"/>
      <c r="I1124" s="2">
        <v>4534551874</v>
      </c>
      <c r="J1124" s="29">
        <v>319533495</v>
      </c>
      <c r="K1124" s="3">
        <v>637959701</v>
      </c>
      <c r="L1124" s="2"/>
      <c r="M1124" s="37">
        <f>SUM(F1124:L1124)</f>
        <v>5492045070</v>
      </c>
      <c r="N1124" s="3"/>
      <c r="O1124" s="2"/>
      <c r="P1124" s="3"/>
      <c r="Q1124" s="2">
        <f>4250707142+52493459</f>
        <v>4303200601</v>
      </c>
      <c r="R1124" s="3">
        <v>319990494</v>
      </c>
      <c r="S1124" s="3">
        <f>318426206+319990494</f>
        <v>638416700</v>
      </c>
      <c r="T1124" s="2"/>
      <c r="U1124" s="8">
        <f t="shared" si="141"/>
        <v>10753652865</v>
      </c>
      <c r="V1124" s="8"/>
      <c r="W1124" s="8"/>
      <c r="X1124" s="8"/>
      <c r="Y1124" s="8">
        <v>6574911807</v>
      </c>
      <c r="Z1124" s="8">
        <v>305145060</v>
      </c>
      <c r="AA1124" s="8">
        <v>720443305</v>
      </c>
      <c r="AB1124" s="8"/>
      <c r="AC1124" s="8">
        <f t="shared" si="142"/>
        <v>18354153037</v>
      </c>
      <c r="AD1124" s="8"/>
      <c r="AE1124" s="8"/>
      <c r="AF1124" s="8"/>
      <c r="AG1124" s="8"/>
      <c r="AH1124" s="8">
        <v>4498302482</v>
      </c>
      <c r="AI1124" s="8">
        <v>580821433</v>
      </c>
      <c r="AJ1124" s="8">
        <v>325938539</v>
      </c>
      <c r="AK1124" s="8">
        <v>823299262</v>
      </c>
      <c r="AL1124" s="8"/>
      <c r="AM1124" s="8">
        <v>2307917227</v>
      </c>
      <c r="AN1124" s="8">
        <f>SUBTOTAL(9,AC1124:AM1124)</f>
        <v>26890431980</v>
      </c>
      <c r="AO1124" s="8"/>
      <c r="AP1124" s="8"/>
      <c r="AQ1124" s="8">
        <v>809934400</v>
      </c>
      <c r="AR1124" s="8"/>
      <c r="AS1124" s="8"/>
      <c r="AT1124" s="8">
        <v>4498302482</v>
      </c>
      <c r="AU1124" s="8"/>
      <c r="AV1124" s="8">
        <v>325938539</v>
      </c>
      <c r="AW1124" s="8">
        <v>558041944</v>
      </c>
      <c r="AX1124" s="8"/>
      <c r="AY1124" s="8"/>
      <c r="AZ1124" s="8"/>
      <c r="BA1124" s="8"/>
      <c r="BB1124" s="8"/>
      <c r="BC1124" s="8">
        <f t="shared" si="143"/>
        <v>33082649345</v>
      </c>
      <c r="BD1124" s="4">
        <v>30774732118</v>
      </c>
      <c r="BE1124" s="4">
        <f t="shared" si="144"/>
        <v>2307917227</v>
      </c>
      <c r="BF1124" s="30">
        <f t="shared" si="145"/>
        <v>33082649345</v>
      </c>
      <c r="BG1124" s="18">
        <f t="shared" si="146"/>
        <v>0</v>
      </c>
      <c r="BH1124" s="23"/>
      <c r="BI1124" s="23"/>
      <c r="BJ1124" s="23"/>
    </row>
    <row r="1125" spans="1:82" ht="15" customHeight="1" x14ac:dyDescent="0.2">
      <c r="A1125" s="1">
        <v>8001005310</v>
      </c>
      <c r="B1125" s="1">
        <v>800100531</v>
      </c>
      <c r="C1125" s="15">
        <v>219076890</v>
      </c>
      <c r="D1125" s="16" t="s">
        <v>945</v>
      </c>
      <c r="E1125" s="41" t="s">
        <v>2006</v>
      </c>
      <c r="F1125" s="28"/>
      <c r="G1125" s="2"/>
      <c r="H1125" s="3"/>
      <c r="I1125" s="2"/>
      <c r="J1125" s="29"/>
      <c r="K1125" s="3"/>
      <c r="L1125" s="2"/>
      <c r="M1125" s="8"/>
      <c r="N1125" s="3"/>
      <c r="O1125" s="2"/>
      <c r="P1125" s="3"/>
      <c r="Q1125" s="2"/>
      <c r="R1125" s="3"/>
      <c r="S1125" s="3"/>
      <c r="T1125" s="2"/>
      <c r="U1125" s="8">
        <f t="shared" si="141"/>
        <v>0</v>
      </c>
      <c r="V1125" s="8"/>
      <c r="W1125" s="8"/>
      <c r="X1125" s="8"/>
      <c r="Y1125" s="8"/>
      <c r="Z1125" s="8"/>
      <c r="AA1125" s="8"/>
      <c r="AB1125" s="8"/>
      <c r="AC1125" s="8">
        <f t="shared" si="142"/>
        <v>0</v>
      </c>
      <c r="AD1125" s="8"/>
      <c r="AE1125" s="8"/>
      <c r="AF1125" s="8"/>
      <c r="AG1125" s="8"/>
      <c r="AH1125" s="8"/>
      <c r="AI1125" s="8"/>
      <c r="AJ1125" s="8"/>
      <c r="AK1125" s="8"/>
      <c r="AL1125" s="8"/>
      <c r="AM1125" s="8">
        <v>208386621</v>
      </c>
      <c r="AN1125" s="8">
        <f>SUBTOTAL(9,AC1125:AM1125)</f>
        <v>208386621</v>
      </c>
      <c r="AO1125" s="8"/>
      <c r="AP1125" s="8"/>
      <c r="AQ1125" s="8"/>
      <c r="AR1125" s="8"/>
      <c r="AS1125" s="8"/>
      <c r="AT1125" s="8"/>
      <c r="AU1125" s="8"/>
      <c r="AV1125" s="8"/>
      <c r="AW1125" s="8"/>
      <c r="AX1125" s="8"/>
      <c r="AY1125" s="8">
        <v>115330945</v>
      </c>
      <c r="AZ1125" s="8"/>
      <c r="BA1125" s="8"/>
      <c r="BB1125" s="8"/>
      <c r="BC1125" s="8">
        <f t="shared" si="143"/>
        <v>323717566</v>
      </c>
      <c r="BD1125" s="4">
        <v>115330945</v>
      </c>
      <c r="BE1125" s="4">
        <f t="shared" si="144"/>
        <v>208386621</v>
      </c>
      <c r="BF1125" s="30">
        <f t="shared" si="145"/>
        <v>323717566</v>
      </c>
      <c r="BG1125" s="18">
        <f t="shared" si="146"/>
        <v>0</v>
      </c>
      <c r="BH1125" s="23"/>
      <c r="BI1125" s="23"/>
      <c r="BJ1125" s="23"/>
    </row>
    <row r="1126" spans="1:82" ht="15" customHeight="1" x14ac:dyDescent="0.2">
      <c r="A1126" s="1">
        <v>8903990256</v>
      </c>
      <c r="B1126" s="1">
        <v>890399025</v>
      </c>
      <c r="C1126" s="15">
        <v>219276892</v>
      </c>
      <c r="D1126" s="16" t="s">
        <v>946</v>
      </c>
      <c r="E1126" s="53" t="s">
        <v>2007</v>
      </c>
      <c r="F1126" s="28"/>
      <c r="G1126" s="2"/>
      <c r="H1126" s="3"/>
      <c r="I1126" s="2">
        <v>2381129870</v>
      </c>
      <c r="J1126" s="29">
        <v>168994617</v>
      </c>
      <c r="K1126" s="3">
        <v>338371500</v>
      </c>
      <c r="L1126" s="2"/>
      <c r="M1126" s="37">
        <f>SUM(F1126:L1126)</f>
        <v>2888495987</v>
      </c>
      <c r="N1126" s="3"/>
      <c r="O1126" s="2"/>
      <c r="P1126" s="3"/>
      <c r="Q1126" s="2">
        <f>2278296001+24491106</f>
        <v>2302787107</v>
      </c>
      <c r="R1126" s="3">
        <v>168994617</v>
      </c>
      <c r="S1126" s="3">
        <f>169376883+168994617</f>
        <v>338371500</v>
      </c>
      <c r="T1126" s="2"/>
      <c r="U1126" s="8">
        <f t="shared" si="141"/>
        <v>5698649211</v>
      </c>
      <c r="V1126" s="8"/>
      <c r="W1126" s="8"/>
      <c r="X1126" s="8"/>
      <c r="Y1126" s="8">
        <v>3778292409</v>
      </c>
      <c r="Z1126" s="8">
        <v>162587418</v>
      </c>
      <c r="AA1126" s="8">
        <v>379229825</v>
      </c>
      <c r="AB1126" s="8"/>
      <c r="AC1126" s="8">
        <f t="shared" si="142"/>
        <v>10018758863</v>
      </c>
      <c r="AD1126" s="8"/>
      <c r="AE1126" s="8"/>
      <c r="AF1126" s="8"/>
      <c r="AG1126" s="8"/>
      <c r="AH1126" s="8">
        <v>2418845618</v>
      </c>
      <c r="AI1126" s="8">
        <v>299005292</v>
      </c>
      <c r="AJ1126" s="8">
        <v>174210602</v>
      </c>
      <c r="AK1126" s="8">
        <v>438991978</v>
      </c>
      <c r="AL1126" s="8"/>
      <c r="AM1126" s="8">
        <v>1165698576</v>
      </c>
      <c r="AN1126" s="8">
        <f>SUBTOTAL(9,AC1126:AM1126)</f>
        <v>14515510929</v>
      </c>
      <c r="AO1126" s="8"/>
      <c r="AP1126" s="8"/>
      <c r="AQ1126" s="8">
        <v>597441820</v>
      </c>
      <c r="AR1126" s="8"/>
      <c r="AS1126" s="8"/>
      <c r="AT1126" s="8">
        <v>2418845618</v>
      </c>
      <c r="AU1126" s="8"/>
      <c r="AV1126" s="8">
        <v>174210602</v>
      </c>
      <c r="AW1126" s="8">
        <v>297397928</v>
      </c>
      <c r="AX1126" s="8"/>
      <c r="AY1126" s="8"/>
      <c r="AZ1126" s="8"/>
      <c r="BA1126" s="8"/>
      <c r="BB1126" s="8"/>
      <c r="BC1126" s="8">
        <f t="shared" si="143"/>
        <v>18003406897</v>
      </c>
      <c r="BD1126" s="4">
        <v>16837708321</v>
      </c>
      <c r="BE1126" s="4">
        <f t="shared" si="144"/>
        <v>1165698576</v>
      </c>
      <c r="BF1126" s="30">
        <f t="shared" si="145"/>
        <v>18003406897</v>
      </c>
      <c r="BG1126" s="18">
        <f t="shared" si="146"/>
        <v>0</v>
      </c>
      <c r="BH1126" s="23"/>
      <c r="BI1126" s="23"/>
      <c r="BJ1126" s="23"/>
    </row>
    <row r="1127" spans="1:82" ht="15" customHeight="1" x14ac:dyDescent="0.2">
      <c r="A1127" s="1">
        <v>8904811777</v>
      </c>
      <c r="B1127" s="1">
        <v>890481177</v>
      </c>
      <c r="C1127" s="15">
        <v>219413894</v>
      </c>
      <c r="D1127" s="16" t="s">
        <v>217</v>
      </c>
      <c r="E1127" s="41" t="s">
        <v>1252</v>
      </c>
      <c r="F1127" s="28"/>
      <c r="G1127" s="17"/>
      <c r="H1127" s="3"/>
      <c r="I1127" s="2"/>
      <c r="J1127" s="29"/>
      <c r="K1127" s="3"/>
      <c r="L1127" s="17"/>
      <c r="M1127" s="34"/>
      <c r="N1127" s="3"/>
      <c r="O1127" s="17"/>
      <c r="P1127" s="3"/>
      <c r="Q1127" s="2"/>
      <c r="R1127" s="3"/>
      <c r="S1127" s="3"/>
      <c r="T1127" s="17"/>
      <c r="U1127" s="8">
        <f t="shared" si="141"/>
        <v>0</v>
      </c>
      <c r="V1127" s="8"/>
      <c r="W1127" s="8"/>
      <c r="X1127" s="8"/>
      <c r="Y1127" s="8"/>
      <c r="Z1127" s="8"/>
      <c r="AA1127" s="8"/>
      <c r="AB1127" s="8"/>
      <c r="AC1127" s="8">
        <f t="shared" si="142"/>
        <v>0</v>
      </c>
      <c r="AD1127" s="8"/>
      <c r="AE1127" s="8"/>
      <c r="AF1127" s="8"/>
      <c r="AG1127" s="8"/>
      <c r="AH1127" s="8"/>
      <c r="AI1127" s="8"/>
      <c r="AJ1127" s="8"/>
      <c r="AK1127" s="8"/>
      <c r="AL1127" s="8"/>
      <c r="AM1127" s="8">
        <v>204320431</v>
      </c>
      <c r="AN1127" s="8">
        <f>SUBTOTAL(9,AC1127:AM1127)</f>
        <v>204320431</v>
      </c>
      <c r="AO1127" s="8"/>
      <c r="AP1127" s="8"/>
      <c r="AQ1127" s="8"/>
      <c r="AR1127" s="8"/>
      <c r="AS1127" s="8"/>
      <c r="AT1127" s="8"/>
      <c r="AU1127" s="8"/>
      <c r="AV1127" s="8"/>
      <c r="AW1127" s="8"/>
      <c r="AX1127" s="8"/>
      <c r="AY1127" s="8">
        <v>107609125</v>
      </c>
      <c r="AZ1127" s="8"/>
      <c r="BA1127" s="8"/>
      <c r="BB1127" s="8"/>
      <c r="BC1127" s="8">
        <f t="shared" si="143"/>
        <v>311929556</v>
      </c>
      <c r="BD1127" s="4">
        <v>107609125</v>
      </c>
      <c r="BE1127" s="4">
        <f t="shared" si="144"/>
        <v>204320431</v>
      </c>
      <c r="BF1127" s="30">
        <f t="shared" si="145"/>
        <v>311929556</v>
      </c>
      <c r="BG1127" s="18">
        <f t="shared" si="146"/>
        <v>0</v>
      </c>
      <c r="BH1127" s="23"/>
      <c r="BI1127" s="14"/>
      <c r="BJ1127" s="14"/>
      <c r="BK1127" s="14"/>
      <c r="BL1127" s="14"/>
      <c r="BM1127" s="14"/>
      <c r="BN1127" s="14"/>
    </row>
    <row r="1128" spans="1:82" ht="15" customHeight="1" x14ac:dyDescent="0.2">
      <c r="A1128" s="1">
        <v>8902041383</v>
      </c>
      <c r="B1128" s="1">
        <v>890204138</v>
      </c>
      <c r="C1128" s="15">
        <v>219568895</v>
      </c>
      <c r="D1128" s="16" t="s">
        <v>889</v>
      </c>
      <c r="E1128" s="41" t="s">
        <v>1861</v>
      </c>
      <c r="F1128" s="28"/>
      <c r="G1128" s="2"/>
      <c r="H1128" s="3"/>
      <c r="I1128" s="2"/>
      <c r="J1128" s="29"/>
      <c r="K1128" s="3"/>
      <c r="L1128" s="2"/>
      <c r="M1128" s="8"/>
      <c r="N1128" s="3"/>
      <c r="O1128" s="2"/>
      <c r="P1128" s="3"/>
      <c r="Q1128" s="2"/>
      <c r="R1128" s="3"/>
      <c r="S1128" s="3"/>
      <c r="T1128" s="2"/>
      <c r="U1128" s="8">
        <f t="shared" si="141"/>
        <v>0</v>
      </c>
      <c r="V1128" s="8"/>
      <c r="W1128" s="8"/>
      <c r="X1128" s="8"/>
      <c r="Y1128" s="8"/>
      <c r="Z1128" s="8"/>
      <c r="AA1128" s="8"/>
      <c r="AB1128" s="8"/>
      <c r="AC1128" s="8">
        <f t="shared" si="142"/>
        <v>0</v>
      </c>
      <c r="AD1128" s="8"/>
      <c r="AE1128" s="8"/>
      <c r="AF1128" s="8"/>
      <c r="AG1128" s="8"/>
      <c r="AH1128" s="8"/>
      <c r="AI1128" s="8"/>
      <c r="AJ1128" s="8"/>
      <c r="AK1128" s="8"/>
      <c r="AL1128" s="8"/>
      <c r="AM1128" s="8"/>
      <c r="AN1128" s="8"/>
      <c r="AO1128" s="8"/>
      <c r="AP1128" s="8"/>
      <c r="AQ1128" s="8"/>
      <c r="AR1128" s="8"/>
      <c r="AS1128" s="8"/>
      <c r="AT1128" s="8"/>
      <c r="AU1128" s="8"/>
      <c r="AV1128" s="8"/>
      <c r="AW1128" s="8"/>
      <c r="AX1128" s="8"/>
      <c r="AY1128" s="8">
        <v>49581500</v>
      </c>
      <c r="AZ1128" s="8"/>
      <c r="BA1128" s="8">
        <f>VLOOKUP(B1128,[1]Hoja3!J$3:K$674,2,0)</f>
        <v>131468365</v>
      </c>
      <c r="BB1128" s="8"/>
      <c r="BC1128" s="8">
        <f t="shared" si="143"/>
        <v>181049865</v>
      </c>
      <c r="BD1128" s="4">
        <v>49581500</v>
      </c>
      <c r="BE1128" s="4">
        <f t="shared" si="144"/>
        <v>131468365</v>
      </c>
      <c r="BF1128" s="30">
        <f t="shared" si="145"/>
        <v>181049865</v>
      </c>
      <c r="BG1128" s="18">
        <f t="shared" si="146"/>
        <v>0</v>
      </c>
      <c r="BH1128" s="23"/>
      <c r="BI1128" s="23"/>
      <c r="BJ1128" s="23"/>
    </row>
    <row r="1129" spans="1:82" ht="15" customHeight="1" x14ac:dyDescent="0.2">
      <c r="A1129" s="1">
        <v>8190037604</v>
      </c>
      <c r="B1129" s="1">
        <v>819003760</v>
      </c>
      <c r="C1129" s="15">
        <v>216047960</v>
      </c>
      <c r="D1129" s="16" t="s">
        <v>664</v>
      </c>
      <c r="E1129" s="41" t="s">
        <v>1685</v>
      </c>
      <c r="F1129" s="28"/>
      <c r="G1129" s="2"/>
      <c r="H1129" s="3"/>
      <c r="I1129" s="2"/>
      <c r="J1129" s="29"/>
      <c r="K1129" s="3"/>
      <c r="L1129" s="2"/>
      <c r="M1129" s="8"/>
      <c r="N1129" s="3"/>
      <c r="O1129" s="2"/>
      <c r="P1129" s="3"/>
      <c r="Q1129" s="2"/>
      <c r="R1129" s="3"/>
      <c r="S1129" s="3"/>
      <c r="T1129" s="2"/>
      <c r="U1129" s="8">
        <f t="shared" si="141"/>
        <v>0</v>
      </c>
      <c r="V1129" s="8"/>
      <c r="W1129" s="8"/>
      <c r="X1129" s="8"/>
      <c r="Y1129" s="8"/>
      <c r="Z1129" s="8"/>
      <c r="AA1129" s="8"/>
      <c r="AB1129" s="8"/>
      <c r="AC1129" s="8">
        <f t="shared" si="142"/>
        <v>0</v>
      </c>
      <c r="AD1129" s="8"/>
      <c r="AE1129" s="8"/>
      <c r="AF1129" s="8"/>
      <c r="AG1129" s="8"/>
      <c r="AH1129" s="8"/>
      <c r="AI1129" s="8"/>
      <c r="AJ1129" s="8"/>
      <c r="AK1129" s="8"/>
      <c r="AL1129" s="8"/>
      <c r="AM1129" s="8"/>
      <c r="AN1129" s="8"/>
      <c r="AO1129" s="8"/>
      <c r="AP1129" s="8"/>
      <c r="AQ1129" s="8"/>
      <c r="AR1129" s="8"/>
      <c r="AS1129" s="8"/>
      <c r="AT1129" s="8"/>
      <c r="AU1129" s="8"/>
      <c r="AV1129" s="8"/>
      <c r="AW1129" s="8"/>
      <c r="AX1129" s="8"/>
      <c r="AY1129" s="8">
        <v>113973205</v>
      </c>
      <c r="AZ1129" s="8"/>
      <c r="BA1129" s="8">
        <f>VLOOKUP(B1129,[1]Hoja3!J$3:K$674,2,0)</f>
        <v>177845799</v>
      </c>
      <c r="BB1129" s="8"/>
      <c r="BC1129" s="8">
        <f t="shared" si="143"/>
        <v>291819004</v>
      </c>
      <c r="BD1129" s="4">
        <v>113973205</v>
      </c>
      <c r="BE1129" s="4">
        <f t="shared" si="144"/>
        <v>177845799</v>
      </c>
      <c r="BF1129" s="30">
        <f t="shared" si="145"/>
        <v>291819004</v>
      </c>
      <c r="BG1129" s="18">
        <f t="shared" si="146"/>
        <v>0</v>
      </c>
      <c r="BH1129" s="23"/>
      <c r="BI1129" s="23"/>
      <c r="BJ1129" s="23"/>
    </row>
    <row r="1130" spans="1:82" ht="15" customHeight="1" x14ac:dyDescent="0.2">
      <c r="A1130" s="1">
        <v>8909811504</v>
      </c>
      <c r="B1130" s="1">
        <v>890981150</v>
      </c>
      <c r="C1130" s="15">
        <v>219505895</v>
      </c>
      <c r="D1130" s="16" t="s">
        <v>160</v>
      </c>
      <c r="E1130" s="41" t="s">
        <v>1188</v>
      </c>
      <c r="F1130" s="28"/>
      <c r="G1130" s="2"/>
      <c r="H1130" s="3"/>
      <c r="I1130" s="2"/>
      <c r="J1130" s="29"/>
      <c r="K1130" s="3"/>
      <c r="L1130" s="2"/>
      <c r="M1130" s="8"/>
      <c r="N1130" s="3"/>
      <c r="O1130" s="2"/>
      <c r="P1130" s="3"/>
      <c r="Q1130" s="2"/>
      <c r="R1130" s="3"/>
      <c r="S1130" s="3"/>
      <c r="T1130" s="2"/>
      <c r="U1130" s="8">
        <f t="shared" si="141"/>
        <v>0</v>
      </c>
      <c r="V1130" s="8"/>
      <c r="W1130" s="8"/>
      <c r="X1130" s="8"/>
      <c r="Y1130" s="8"/>
      <c r="Z1130" s="8"/>
      <c r="AA1130" s="8"/>
      <c r="AB1130" s="8"/>
      <c r="AC1130" s="8">
        <f t="shared" si="142"/>
        <v>0</v>
      </c>
      <c r="AD1130" s="8"/>
      <c r="AE1130" s="8"/>
      <c r="AF1130" s="8"/>
      <c r="AG1130" s="8"/>
      <c r="AH1130" s="8"/>
      <c r="AI1130" s="8"/>
      <c r="AJ1130" s="8"/>
      <c r="AK1130" s="8"/>
      <c r="AL1130" s="8"/>
      <c r="AM1130" s="8">
        <v>118029911</v>
      </c>
      <c r="AN1130" s="8">
        <f>SUBTOTAL(9,AC1130:AM1130)</f>
        <v>118029911</v>
      </c>
      <c r="AO1130" s="8"/>
      <c r="AP1130" s="8"/>
      <c r="AQ1130" s="8"/>
      <c r="AR1130" s="8"/>
      <c r="AS1130" s="8"/>
      <c r="AT1130" s="8"/>
      <c r="AU1130" s="8"/>
      <c r="AV1130" s="8"/>
      <c r="AW1130" s="8"/>
      <c r="AX1130" s="8"/>
      <c r="AY1130" s="8"/>
      <c r="AZ1130" s="8"/>
      <c r="BA1130" s="8">
        <f>VLOOKUP(B1130,[1]Hoja3!J$3:K$674,2,0)</f>
        <v>421679786</v>
      </c>
      <c r="BB1130" s="8"/>
      <c r="BC1130" s="8">
        <f t="shared" si="143"/>
        <v>539709697</v>
      </c>
      <c r="BD1130" s="4"/>
      <c r="BE1130" s="4">
        <f t="shared" si="144"/>
        <v>539709697</v>
      </c>
      <c r="BF1130" s="30">
        <f t="shared" si="145"/>
        <v>539709697</v>
      </c>
      <c r="BG1130" s="18">
        <f t="shared" si="146"/>
        <v>0</v>
      </c>
      <c r="BH1130" s="23"/>
      <c r="BI1130" s="23"/>
      <c r="BJ1130" s="23"/>
    </row>
    <row r="1131" spans="1:82" ht="15" customHeight="1" x14ac:dyDescent="0.2">
      <c r="A1131" s="1">
        <v>8919006240</v>
      </c>
      <c r="B1131" s="1">
        <v>891900624</v>
      </c>
      <c r="C1131" s="15">
        <v>219576895</v>
      </c>
      <c r="D1131" s="16" t="s">
        <v>947</v>
      </c>
      <c r="E1131" s="41" t="s">
        <v>2008</v>
      </c>
      <c r="F1131" s="28"/>
      <c r="G1131" s="2"/>
      <c r="H1131" s="3"/>
      <c r="I1131" s="2"/>
      <c r="J1131" s="29"/>
      <c r="K1131" s="3"/>
      <c r="L1131" s="2"/>
      <c r="M1131" s="8"/>
      <c r="N1131" s="3"/>
      <c r="O1131" s="2"/>
      <c r="P1131" s="3"/>
      <c r="Q1131" s="2"/>
      <c r="R1131" s="3"/>
      <c r="S1131" s="3"/>
      <c r="T1131" s="2"/>
      <c r="U1131" s="8">
        <f t="shared" si="141"/>
        <v>0</v>
      </c>
      <c r="V1131" s="8"/>
      <c r="W1131" s="8"/>
      <c r="X1131" s="8"/>
      <c r="Y1131" s="8"/>
      <c r="Z1131" s="8"/>
      <c r="AA1131" s="8"/>
      <c r="AB1131" s="8"/>
      <c r="AC1131" s="8">
        <f t="shared" si="142"/>
        <v>0</v>
      </c>
      <c r="AD1131" s="8"/>
      <c r="AE1131" s="8"/>
      <c r="AF1131" s="8"/>
      <c r="AG1131" s="8"/>
      <c r="AH1131" s="8"/>
      <c r="AI1131" s="8"/>
      <c r="AJ1131" s="8"/>
      <c r="AK1131" s="8"/>
      <c r="AL1131" s="8"/>
      <c r="AM1131" s="8">
        <v>250009642</v>
      </c>
      <c r="AN1131" s="8">
        <f>SUBTOTAL(9,AC1131:AM1131)</f>
        <v>250009642</v>
      </c>
      <c r="AO1131" s="8"/>
      <c r="AP1131" s="8"/>
      <c r="AQ1131" s="8"/>
      <c r="AR1131" s="8"/>
      <c r="AS1131" s="8"/>
      <c r="AT1131" s="8"/>
      <c r="AU1131" s="8"/>
      <c r="AV1131" s="8"/>
      <c r="AW1131" s="8"/>
      <c r="AX1131" s="8"/>
      <c r="AY1131" s="8">
        <v>250770220</v>
      </c>
      <c r="AZ1131" s="8"/>
      <c r="BA1131" s="8">
        <f>VLOOKUP(B1131,[1]Hoja3!J$3:K$674,2,0)</f>
        <v>252492949</v>
      </c>
      <c r="BB1131" s="8"/>
      <c r="BC1131" s="8">
        <f t="shared" si="143"/>
        <v>753272811</v>
      </c>
      <c r="BD1131" s="4">
        <v>250770220</v>
      </c>
      <c r="BE1131" s="4">
        <f t="shared" si="144"/>
        <v>502502591</v>
      </c>
      <c r="BF1131" s="30">
        <f t="shared" si="145"/>
        <v>753272811</v>
      </c>
      <c r="BG1131" s="18">
        <f t="shared" si="146"/>
        <v>0</v>
      </c>
      <c r="BH1131" s="23"/>
      <c r="BI1131" s="23"/>
      <c r="BJ1131" s="23"/>
    </row>
    <row r="1132" spans="1:82" ht="15" customHeight="1" x14ac:dyDescent="0.2">
      <c r="A1132" s="1">
        <v>8918021067</v>
      </c>
      <c r="B1132" s="1">
        <v>891802106</v>
      </c>
      <c r="C1132" s="15">
        <v>219715897</v>
      </c>
      <c r="D1132" s="16" t="s">
        <v>335</v>
      </c>
      <c r="E1132" s="41" t="s">
        <v>1366</v>
      </c>
      <c r="F1132" s="28"/>
      <c r="G1132" s="17"/>
      <c r="H1132" s="3"/>
      <c r="I1132" s="2"/>
      <c r="J1132" s="29"/>
      <c r="K1132" s="3"/>
      <c r="L1132" s="17"/>
      <c r="M1132" s="34"/>
      <c r="N1132" s="3"/>
      <c r="O1132" s="17"/>
      <c r="P1132" s="3"/>
      <c r="Q1132" s="2"/>
      <c r="R1132" s="3"/>
      <c r="S1132" s="3"/>
      <c r="T1132" s="17"/>
      <c r="U1132" s="8">
        <f t="shared" si="141"/>
        <v>0</v>
      </c>
      <c r="V1132" s="8"/>
      <c r="W1132" s="8"/>
      <c r="X1132" s="8"/>
      <c r="Y1132" s="8"/>
      <c r="Z1132" s="8"/>
      <c r="AA1132" s="8"/>
      <c r="AB1132" s="8"/>
      <c r="AC1132" s="8">
        <f t="shared" si="142"/>
        <v>0</v>
      </c>
      <c r="AD1132" s="8"/>
      <c r="AE1132" s="8"/>
      <c r="AF1132" s="8"/>
      <c r="AG1132" s="8"/>
      <c r="AH1132" s="8"/>
      <c r="AI1132" s="8"/>
      <c r="AJ1132" s="8"/>
      <c r="AK1132" s="8"/>
      <c r="AL1132" s="8"/>
      <c r="AM1132" s="8"/>
      <c r="AN1132" s="8"/>
      <c r="AO1132" s="8"/>
      <c r="AP1132" s="8"/>
      <c r="AQ1132" s="8"/>
      <c r="AR1132" s="8"/>
      <c r="AS1132" s="8"/>
      <c r="AT1132" s="8"/>
      <c r="AU1132" s="8"/>
      <c r="AV1132" s="8"/>
      <c r="AW1132" s="8"/>
      <c r="AX1132" s="8"/>
      <c r="AY1132" s="8">
        <v>45438535</v>
      </c>
      <c r="AZ1132" s="8"/>
      <c r="BA1132" s="8">
        <f>VLOOKUP(B1132,[1]Hoja3!J$3:K$674,2,0)</f>
        <v>79190140</v>
      </c>
      <c r="BB1132" s="8"/>
      <c r="BC1132" s="8">
        <f t="shared" si="143"/>
        <v>124628675</v>
      </c>
      <c r="BD1132" s="4">
        <v>45438535</v>
      </c>
      <c r="BE1132" s="4">
        <f t="shared" si="144"/>
        <v>79190140</v>
      </c>
      <c r="BF1132" s="30">
        <f t="shared" si="145"/>
        <v>124628675</v>
      </c>
      <c r="BG1132" s="18">
        <f t="shared" si="146"/>
        <v>0</v>
      </c>
      <c r="BH1132" s="23"/>
      <c r="BI1132" s="14"/>
      <c r="BJ1132" s="14"/>
      <c r="BK1132" s="14"/>
      <c r="BL1132" s="14"/>
      <c r="BM1132" s="14"/>
      <c r="BN1132" s="14"/>
    </row>
    <row r="1133" spans="1:82" ht="15" customHeight="1" x14ac:dyDescent="0.2">
      <c r="A1133" s="1">
        <v>8000947786</v>
      </c>
      <c r="B1133" s="1">
        <v>800094778</v>
      </c>
      <c r="C1133" s="15">
        <v>219825898</v>
      </c>
      <c r="D1133" s="16" t="s">
        <v>566</v>
      </c>
      <c r="E1133" s="41" t="s">
        <v>1585</v>
      </c>
      <c r="F1133" s="28"/>
      <c r="G1133" s="2"/>
      <c r="H1133" s="3"/>
      <c r="I1133" s="2"/>
      <c r="J1133" s="29"/>
      <c r="K1133" s="3"/>
      <c r="L1133" s="2"/>
      <c r="M1133" s="8"/>
      <c r="N1133" s="3"/>
      <c r="O1133" s="2"/>
      <c r="P1133" s="3"/>
      <c r="Q1133" s="2"/>
      <c r="R1133" s="3"/>
      <c r="S1133" s="3"/>
      <c r="T1133" s="2"/>
      <c r="U1133" s="8">
        <f t="shared" si="141"/>
        <v>0</v>
      </c>
      <c r="V1133" s="8"/>
      <c r="W1133" s="8"/>
      <c r="X1133" s="8"/>
      <c r="Y1133" s="8"/>
      <c r="Z1133" s="8"/>
      <c r="AA1133" s="8"/>
      <c r="AB1133" s="8"/>
      <c r="AC1133" s="8">
        <f t="shared" si="142"/>
        <v>0</v>
      </c>
      <c r="AD1133" s="8"/>
      <c r="AE1133" s="8"/>
      <c r="AF1133" s="8"/>
      <c r="AG1133" s="8"/>
      <c r="AH1133" s="8"/>
      <c r="AI1133" s="8"/>
      <c r="AJ1133" s="8"/>
      <c r="AK1133" s="8"/>
      <c r="AL1133" s="8"/>
      <c r="AM1133" s="8">
        <v>61636818</v>
      </c>
      <c r="AN1133" s="8">
        <f>SUBTOTAL(9,AC1133:AM1133)</f>
        <v>61636818</v>
      </c>
      <c r="AO1133" s="8"/>
      <c r="AP1133" s="8"/>
      <c r="AQ1133" s="8"/>
      <c r="AR1133" s="8"/>
      <c r="AS1133" s="8"/>
      <c r="AT1133" s="8"/>
      <c r="AU1133" s="8"/>
      <c r="AV1133" s="8"/>
      <c r="AW1133" s="8"/>
      <c r="AX1133" s="8"/>
      <c r="AY1133" s="8">
        <v>30981275</v>
      </c>
      <c r="AZ1133" s="8"/>
      <c r="BA1133" s="8"/>
      <c r="BB1133" s="8"/>
      <c r="BC1133" s="8">
        <f t="shared" si="143"/>
        <v>92618093</v>
      </c>
      <c r="BD1133" s="4">
        <v>30981275</v>
      </c>
      <c r="BE1133" s="4">
        <f t="shared" si="144"/>
        <v>61636818</v>
      </c>
      <c r="BF1133" s="30">
        <f t="shared" si="145"/>
        <v>92618093</v>
      </c>
      <c r="BG1133" s="18">
        <f t="shared" si="146"/>
        <v>0</v>
      </c>
      <c r="BH1133" s="23"/>
      <c r="BI1133" s="23"/>
      <c r="BJ1133" s="23"/>
    </row>
    <row r="1134" spans="1:82" ht="15" customHeight="1" x14ac:dyDescent="0.2">
      <c r="A1134" s="1">
        <v>8999993186</v>
      </c>
      <c r="B1134" s="1">
        <v>899999318</v>
      </c>
      <c r="C1134" s="15">
        <v>219925899</v>
      </c>
      <c r="D1134" s="16" t="s">
        <v>567</v>
      </c>
      <c r="E1134" s="53" t="s">
        <v>1586</v>
      </c>
      <c r="F1134" s="28"/>
      <c r="G1134" s="2"/>
      <c r="H1134" s="3"/>
      <c r="I1134" s="2">
        <v>2369172498</v>
      </c>
      <c r="J1134" s="29">
        <v>157344652</v>
      </c>
      <c r="K1134" s="3">
        <v>311650913</v>
      </c>
      <c r="L1134" s="2"/>
      <c r="M1134" s="37">
        <f>SUM(F1134:L1134)</f>
        <v>2838168063</v>
      </c>
      <c r="N1134" s="3"/>
      <c r="O1134" s="2"/>
      <c r="P1134" s="3"/>
      <c r="Q1134" s="2">
        <f>2236387026+15034816</f>
        <v>2251421842</v>
      </c>
      <c r="R1134" s="3">
        <v>157344652</v>
      </c>
      <c r="S1134" s="3">
        <f>154306261+157344652</f>
        <v>311650913</v>
      </c>
      <c r="T1134" s="2"/>
      <c r="U1134" s="8">
        <f t="shared" si="141"/>
        <v>5558585470</v>
      </c>
      <c r="V1134" s="8"/>
      <c r="W1134" s="8"/>
      <c r="X1134" s="8"/>
      <c r="Y1134" s="8">
        <v>2770852913</v>
      </c>
      <c r="Z1134" s="8">
        <v>156787775</v>
      </c>
      <c r="AA1134" s="8">
        <v>362327016</v>
      </c>
      <c r="AB1134" s="8"/>
      <c r="AC1134" s="8">
        <f t="shared" si="142"/>
        <v>8848553174</v>
      </c>
      <c r="AD1134" s="8"/>
      <c r="AE1134" s="8"/>
      <c r="AF1134" s="8"/>
      <c r="AG1134" s="8"/>
      <c r="AH1134" s="8">
        <v>2181847565</v>
      </c>
      <c r="AI1134" s="8">
        <v>217423171</v>
      </c>
      <c r="AJ1134" s="8">
        <v>161582706</v>
      </c>
      <c r="AK1134" s="8">
        <v>406975021</v>
      </c>
      <c r="AL1134" s="8"/>
      <c r="AM1134" s="8">
        <v>980822506</v>
      </c>
      <c r="AN1134" s="8">
        <f>SUBTOTAL(9,AC1134:AM1134)</f>
        <v>12797204143</v>
      </c>
      <c r="AO1134" s="8"/>
      <c r="AP1134" s="8"/>
      <c r="AQ1134" s="8">
        <v>521112600</v>
      </c>
      <c r="AR1134" s="8"/>
      <c r="AS1134" s="8"/>
      <c r="AT1134" s="8">
        <v>2181847565</v>
      </c>
      <c r="AU1134" s="8"/>
      <c r="AV1134" s="8">
        <v>161582706</v>
      </c>
      <c r="AW1134" s="8">
        <v>275633203</v>
      </c>
      <c r="AX1134" s="8"/>
      <c r="AY1134" s="8"/>
      <c r="AZ1134" s="8"/>
      <c r="BA1134" s="8">
        <f>VLOOKUP(B1134,[1]Hoja3!J$3:K$674,2,0)</f>
        <v>156377313</v>
      </c>
      <c r="BB1134" s="8"/>
      <c r="BC1134" s="8">
        <f t="shared" si="143"/>
        <v>16093757530</v>
      </c>
      <c r="BD1134" s="4">
        <v>14956557711</v>
      </c>
      <c r="BE1134" s="4">
        <f t="shared" si="144"/>
        <v>1137199819</v>
      </c>
      <c r="BF1134" s="30">
        <f t="shared" si="145"/>
        <v>16093757530</v>
      </c>
      <c r="BG1134" s="18">
        <f t="shared" si="146"/>
        <v>0</v>
      </c>
      <c r="BH1134" s="23"/>
      <c r="BI1134" s="23"/>
      <c r="BJ1134" s="23"/>
    </row>
    <row r="1135" spans="1:82" ht="15" customHeight="1" x14ac:dyDescent="0.2">
      <c r="A1135" s="1">
        <v>8190032975</v>
      </c>
      <c r="B1135" s="1">
        <v>819003297</v>
      </c>
      <c r="C1135" s="15">
        <v>218047980</v>
      </c>
      <c r="D1135" s="16" t="s">
        <v>665</v>
      </c>
      <c r="E1135" s="41" t="s">
        <v>1686</v>
      </c>
      <c r="F1135" s="28"/>
      <c r="G1135" s="2"/>
      <c r="H1135" s="3"/>
      <c r="I1135" s="2"/>
      <c r="J1135" s="29"/>
      <c r="K1135" s="3"/>
      <c r="L1135" s="2"/>
      <c r="M1135" s="8"/>
      <c r="N1135" s="3"/>
      <c r="O1135" s="2"/>
      <c r="P1135" s="3"/>
      <c r="Q1135" s="2"/>
      <c r="R1135" s="3"/>
      <c r="S1135" s="3"/>
      <c r="T1135" s="2"/>
      <c r="U1135" s="8">
        <f t="shared" si="141"/>
        <v>0</v>
      </c>
      <c r="V1135" s="8"/>
      <c r="W1135" s="8"/>
      <c r="X1135" s="8"/>
      <c r="Y1135" s="8"/>
      <c r="Z1135" s="8"/>
      <c r="AA1135" s="8"/>
      <c r="AB1135" s="8"/>
      <c r="AC1135" s="8">
        <f t="shared" si="142"/>
        <v>0</v>
      </c>
      <c r="AD1135" s="8"/>
      <c r="AE1135" s="8"/>
      <c r="AF1135" s="8"/>
      <c r="AG1135" s="8"/>
      <c r="AH1135" s="8"/>
      <c r="AI1135" s="8"/>
      <c r="AJ1135" s="8"/>
      <c r="AK1135" s="8"/>
      <c r="AL1135" s="8"/>
      <c r="AM1135" s="65">
        <v>432954164</v>
      </c>
      <c r="AN1135" s="8">
        <f>SUBTOTAL(9,AC1135:AM1135)</f>
        <v>432954164</v>
      </c>
      <c r="AO1135" s="8"/>
      <c r="AP1135" s="8"/>
      <c r="AQ1135" s="8"/>
      <c r="AR1135" s="8"/>
      <c r="AS1135" s="8"/>
      <c r="AT1135" s="8"/>
      <c r="AU1135" s="8"/>
      <c r="AV1135" s="8"/>
      <c r="AW1135" s="8"/>
      <c r="AX1135" s="8"/>
      <c r="AY1135" s="8">
        <v>628721615</v>
      </c>
      <c r="AZ1135" s="8"/>
      <c r="BA1135" s="8">
        <f>VLOOKUP(B1135,[1]Hoja3!J$3:K$674,2,0)</f>
        <v>1099946223</v>
      </c>
      <c r="BB1135" s="8"/>
      <c r="BC1135" s="8">
        <f t="shared" si="143"/>
        <v>2161622002</v>
      </c>
      <c r="BD1135" s="4">
        <v>628721615</v>
      </c>
      <c r="BE1135" s="4">
        <f t="shared" si="144"/>
        <v>1532900387</v>
      </c>
      <c r="BF1135" s="30">
        <f t="shared" si="145"/>
        <v>2161622002</v>
      </c>
      <c r="BG1135" s="18">
        <f t="shared" si="146"/>
        <v>0</v>
      </c>
      <c r="BH1135" s="23"/>
      <c r="BI1135" s="23"/>
      <c r="BJ1135" s="23"/>
      <c r="CA1135" s="27">
        <f>SUM(AN3:AN1135)</f>
        <v>6843675139145</v>
      </c>
      <c r="CB1135" s="27">
        <f>SUM(AO3:AO1135)</f>
        <v>611516138401</v>
      </c>
      <c r="CC1135" s="27">
        <f>SUM(AP3:AP1135)</f>
        <v>15568008607</v>
      </c>
      <c r="CD1135" s="27">
        <f>SUM(AQ3:AQ1135)</f>
        <v>89872530930</v>
      </c>
    </row>
    <row r="1136" spans="1:82" s="6" customFormat="1" ht="13.5" customHeight="1" x14ac:dyDescent="0.2">
      <c r="A1136" s="87" t="s">
        <v>1002</v>
      </c>
      <c r="B1136" s="87"/>
      <c r="C1136" s="87"/>
      <c r="D1136" s="87"/>
      <c r="E1136" s="88"/>
      <c r="F1136" s="27">
        <f t="shared" ref="F1136:X1136" si="149">SUM(F3:F1134)</f>
        <v>599100912219</v>
      </c>
      <c r="G1136" s="27">
        <f t="shared" si="149"/>
        <v>0</v>
      </c>
      <c r="H1136" s="27">
        <f t="shared" si="149"/>
        <v>24408484383</v>
      </c>
      <c r="I1136" s="27">
        <f t="shared" si="149"/>
        <v>526000803651</v>
      </c>
      <c r="J1136" s="27">
        <f t="shared" si="149"/>
        <v>76690023332</v>
      </c>
      <c r="K1136" s="27">
        <f t="shared" si="149"/>
        <v>154331629618</v>
      </c>
      <c r="L1136" s="27">
        <f t="shared" si="149"/>
        <v>3721053169</v>
      </c>
      <c r="M1136" s="46">
        <f t="shared" si="149"/>
        <v>1384252906372</v>
      </c>
      <c r="N1136" s="46">
        <f t="shared" si="149"/>
        <v>635175623497</v>
      </c>
      <c r="O1136" s="27">
        <f t="shared" si="149"/>
        <v>0</v>
      </c>
      <c r="P1136" s="27">
        <f t="shared" si="149"/>
        <v>28129537552</v>
      </c>
      <c r="Q1136" s="27">
        <f t="shared" si="149"/>
        <v>554792200290</v>
      </c>
      <c r="R1136" s="27">
        <f t="shared" si="149"/>
        <v>76617664008</v>
      </c>
      <c r="S1136" s="27">
        <f t="shared" si="149"/>
        <v>154293631604</v>
      </c>
      <c r="T1136" s="27">
        <f t="shared" si="149"/>
        <v>0</v>
      </c>
      <c r="U1136" s="27">
        <f t="shared" si="149"/>
        <v>2833261563323</v>
      </c>
      <c r="V1136" s="27">
        <f t="shared" si="149"/>
        <v>863593300745</v>
      </c>
      <c r="W1136" s="27">
        <f t="shared" si="149"/>
        <v>0</v>
      </c>
      <c r="X1136" s="27">
        <f t="shared" si="149"/>
        <v>24398908638</v>
      </c>
      <c r="Y1136" s="27">
        <f t="shared" ref="Y1136:AL1136" si="150">SUM(Y3:Y1134)</f>
        <v>845742951305</v>
      </c>
      <c r="Z1136" s="27">
        <f t="shared" si="150"/>
        <v>77256450991</v>
      </c>
      <c r="AA1136" s="27">
        <f t="shared" si="150"/>
        <v>168839077119</v>
      </c>
      <c r="AB1136" s="27">
        <f t="shared" si="150"/>
        <v>3721053169</v>
      </c>
      <c r="AC1136" s="27">
        <f t="shared" si="150"/>
        <v>4816813305290</v>
      </c>
      <c r="AD1136" s="27">
        <f t="shared" si="150"/>
        <v>600858134858</v>
      </c>
      <c r="AE1136" s="27">
        <f t="shared" si="150"/>
        <v>101979759607</v>
      </c>
      <c r="AF1136" s="27">
        <f t="shared" si="150"/>
        <v>0</v>
      </c>
      <c r="AG1136" s="27">
        <f t="shared" si="150"/>
        <v>24408484383</v>
      </c>
      <c r="AH1136" s="27">
        <f t="shared" si="150"/>
        <v>540570128982</v>
      </c>
      <c r="AI1136" s="27">
        <f t="shared" si="150"/>
        <v>94907177426</v>
      </c>
      <c r="AJ1136" s="27">
        <f t="shared" si="150"/>
        <v>77910341647</v>
      </c>
      <c r="AK1136" s="27">
        <f t="shared" si="150"/>
        <v>196629021350</v>
      </c>
      <c r="AL1136" s="27">
        <f t="shared" si="150"/>
        <v>3721053169</v>
      </c>
      <c r="AM1136" s="27">
        <f>SUM(AM3:AM1135)</f>
        <v>385981898582</v>
      </c>
      <c r="AN1136" s="27">
        <f t="shared" ref="AN1136:BC1136" si="151">SUM(AN3:AN1135)</f>
        <v>6843675139145</v>
      </c>
      <c r="AO1136" s="27">
        <f t="shared" si="151"/>
        <v>611516138401</v>
      </c>
      <c r="AP1136" s="27">
        <f t="shared" si="151"/>
        <v>15568008607</v>
      </c>
      <c r="AQ1136" s="27">
        <f t="shared" si="151"/>
        <v>89872530930</v>
      </c>
      <c r="AR1136" s="27">
        <f t="shared" si="151"/>
        <v>24408484383</v>
      </c>
      <c r="AS1136" s="27">
        <f t="shared" ref="AS1136" si="152">SUM(AS3:AS1135)</f>
        <v>35630597573</v>
      </c>
      <c r="AT1136" s="27">
        <f t="shared" ref="AT1136" si="153">SUM(AT3:AT1135)</f>
        <v>526502455145</v>
      </c>
      <c r="AU1136" s="27">
        <f t="shared" ref="AU1136" si="154">SUM(AU3:AU1135)</f>
        <v>31949960201</v>
      </c>
      <c r="AV1136" s="27">
        <f t="shared" si="151"/>
        <v>74937343928</v>
      </c>
      <c r="AW1136" s="27">
        <f t="shared" si="151"/>
        <v>119634341693.7</v>
      </c>
      <c r="AX1136" s="27">
        <f t="shared" si="151"/>
        <v>3721053169</v>
      </c>
      <c r="AY1136" s="27">
        <f t="shared" si="151"/>
        <v>119039351240</v>
      </c>
      <c r="AZ1136" s="27">
        <f>SUM(AZ3:AZ1135)</f>
        <v>64565772317</v>
      </c>
      <c r="BA1136" s="27">
        <f t="shared" si="151"/>
        <v>133691166058</v>
      </c>
      <c r="BB1136" s="27">
        <f t="shared" si="151"/>
        <v>8718050000</v>
      </c>
      <c r="BC1136" s="27">
        <f t="shared" si="151"/>
        <v>8685994292790.7002</v>
      </c>
      <c r="BD1136" s="27">
        <f t="shared" ref="BD1136:BF1136" si="155">SUM(BD3:BD1135)</f>
        <v>8175143444300</v>
      </c>
      <c r="BE1136" s="27">
        <f t="shared" si="155"/>
        <v>510955014640</v>
      </c>
      <c r="BF1136" s="27">
        <f t="shared" si="155"/>
        <v>8686098458940</v>
      </c>
      <c r="BG1136" s="18">
        <f t="shared" si="146"/>
        <v>-104166149.29980469</v>
      </c>
      <c r="BH1136" s="23"/>
      <c r="BI1136" s="22"/>
      <c r="BJ1136" s="23" t="s">
        <v>2254</v>
      </c>
    </row>
    <row r="1137" spans="39:58" hidden="1" x14ac:dyDescent="0.25">
      <c r="AO1137" s="22"/>
      <c r="BB1137" s="69"/>
      <c r="BC1137" s="69">
        <f>+BC1136-BF1136</f>
        <v>-104166149.29980469</v>
      </c>
      <c r="BD1137" s="68"/>
      <c r="BE1137" s="68"/>
    </row>
    <row r="1138" spans="39:58" x14ac:dyDescent="0.25">
      <c r="AN1138" s="22"/>
      <c r="AO1138" s="22"/>
      <c r="AP1138" s="22"/>
      <c r="AQ1138" s="22"/>
      <c r="AR1138" s="22"/>
      <c r="AS1138" s="22"/>
      <c r="AT1138" s="22"/>
      <c r="AU1138" s="22"/>
      <c r="AV1138" s="22"/>
      <c r="AW1138" s="22"/>
      <c r="AX1138" s="22"/>
      <c r="AY1138" s="22"/>
      <c r="AZ1138" s="22"/>
      <c r="BA1138" s="22"/>
      <c r="BB1138" s="71"/>
      <c r="BC1138" s="14"/>
      <c r="BF1138" s="22"/>
    </row>
    <row r="1139" spans="39:58" x14ac:dyDescent="0.25">
      <c r="AM1139" s="62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70"/>
      <c r="BC1139" s="38"/>
      <c r="BF1139" s="38"/>
    </row>
  </sheetData>
  <autoFilter ref="A2:CD1138" xr:uid="{F2F330AF-CA65-4CE2-BEC2-AB859819B822}">
    <filterColumn colId="54">
      <filters blank="1">
        <filter val="1,007,264,610"/>
        <filter val="1,007,745,195"/>
        <filter val="1,037,499,891"/>
        <filter val="1,046,193,086"/>
        <filter val="1,055,097,097"/>
        <filter val="1,056,584,747"/>
        <filter val="1,081,165,815"/>
        <filter val="1,085,680,667"/>
        <filter val="1,094,725,168"/>
        <filter val="1,097,506,306"/>
        <filter val="1,099,093,447"/>
        <filter val="1,099,272,177"/>
        <filter val="1,104,423,241"/>
        <filter val="1,110,159,568"/>
        <filter val="1,111,617,051"/>
        <filter val="1,126,423,787"/>
        <filter val="1,127,887,398"/>
        <filter val="1,136,364,055"/>
        <filter val="1,136,793,189"/>
        <filter val="1,169,440,530"/>
        <filter val="1,181,768,492"/>
        <filter val="1,190,678,048"/>
        <filter val="1,194,496,822"/>
        <filter val="1,210,187,916"/>
        <filter val="1,211,757,427"/>
        <filter val="1,218,776,285"/>
        <filter val="1,219,613,893"/>
        <filter val="1,246,982,030"/>
        <filter val="1,251,059,955"/>
        <filter val="1,256,028,620"/>
        <filter val="1,293,295,658"/>
        <filter val="1,301,973,652"/>
        <filter val="1,344,332,097"/>
        <filter val="1,351,273,518"/>
        <filter val="1,356,258,460"/>
        <filter val="1,370,749,026"/>
        <filter val="1,373,932,941"/>
        <filter val="1,399,975,172"/>
        <filter val="1,407,215,752"/>
        <filter val="1,442,083,848"/>
        <filter val="1,456,419,024"/>
        <filter val="1,493,991,609"/>
        <filter val="1,501,109,392"/>
        <filter val="1,502,225,209"/>
        <filter val="1,521,032,038"/>
        <filter val="1,532,525,296"/>
        <filter val="1,535,245,666"/>
        <filter val="1,559,268,836"/>
        <filter val="1,596,066,515"/>
        <filter val="1,609,334,489"/>
        <filter val="1,623,448,351"/>
        <filter val="1,641,301,886"/>
        <filter val="1,670,255,632"/>
        <filter val="1,687,722,557"/>
        <filter val="1,724,688,459"/>
        <filter val="1,752,952,602"/>
        <filter val="1,774,010,222"/>
        <filter val="1,833,685,659"/>
        <filter val="1,898,019,788"/>
        <filter val="1,930,162,859"/>
        <filter val="1,947,202,876"/>
        <filter val="100,104,773"/>
        <filter val="100,473,575"/>
        <filter val="100,711,524"/>
        <filter val="101,200,450"/>
        <filter val="102,030,283"/>
        <filter val="103,222,291"/>
        <filter val="103,682,042"/>
        <filter val="103,757,391"/>
        <filter val="104,645,485"/>
        <filter val="104,763,289"/>
        <filter val="104,949,238"/>
        <filter val="105,322,270"/>
        <filter val="105,489,811"/>
        <filter val="105,773,129"/>
        <filter val="106,118,024"/>
        <filter val="106,777,464"/>
        <filter val="106,871,313"/>
        <filter val="107,077,186"/>
        <filter val="108,591,436"/>
        <filter val="108,694,923"/>
        <filter val="108,806,716"/>
        <filter val="108,897,132"/>
        <filter val="109,052,793"/>
        <filter val="109,198,571"/>
        <filter val="109,314,333"/>
        <filter val="11,873,799"/>
        <filter val="110,036,794"/>
        <filter val="110,241,825"/>
        <filter val="110,388,981"/>
        <filter val="110,522,464,702"/>
        <filter val="110,625,395"/>
        <filter val="110,855,796"/>
        <filter val="111,614,423"/>
        <filter val="112,126,765"/>
        <filter val="112,386,396"/>
        <filter val="112,409,421"/>
        <filter val="112,706,445"/>
        <filter val="112,777,521"/>
        <filter val="112,916,963,720"/>
        <filter val="113,013,877"/>
        <filter val="113,101,001"/>
        <filter val="113,443,204,203"/>
        <filter val="113,631,755"/>
        <filter val="114,259,046"/>
        <filter val="114,967,988"/>
        <filter val="115,056,530"/>
        <filter val="115,065,080"/>
        <filter val="115,159,167"/>
        <filter val="115,180,134"/>
        <filter val="115,335,822"/>
        <filter val="116,265,405"/>
        <filter val="116,637,398"/>
        <filter val="116,856,050"/>
        <filter val="117,544,297"/>
        <filter val="117,947,967"/>
        <filter val="118,060,753"/>
        <filter val="118,311,021"/>
        <filter val="118,696,963"/>
        <filter val="118,732,642"/>
        <filter val="118,878,879"/>
        <filter val="119,203,130"/>
        <filter val="119,779,007"/>
        <filter val="12,995,383,026"/>
        <filter val="120,032,073"/>
        <filter val="120,209,003"/>
        <filter val="120,324,235,059"/>
        <filter val="120,424,112"/>
        <filter val="120,461,856"/>
        <filter val="120,739,186"/>
        <filter val="120,889,476"/>
        <filter val="121,243,415"/>
        <filter val="121,878,457"/>
        <filter val="122,000,177"/>
        <filter val="122,096,537"/>
        <filter val="122,495,616"/>
        <filter val="123,039,166"/>
        <filter val="123,086,550"/>
        <filter val="123,875,287"/>
        <filter val="124,496,622"/>
        <filter val="124,628,675"/>
        <filter val="124,819,282"/>
        <filter val="126,075,723"/>
        <filter val="126,708,557"/>
        <filter val="126,939,009"/>
        <filter val="127,259,237"/>
        <filter val="127,479,693"/>
        <filter val="127,758,638"/>
        <filter val="128,238,445"/>
        <filter val="128,243,470"/>
        <filter val="128,357,588"/>
        <filter val="128,823,642"/>
        <filter val="129,740,329"/>
        <filter val="129,927,893"/>
        <filter val="13,333,559,127"/>
        <filter val="13,641,093,694"/>
        <filter val="130,531,302"/>
        <filter val="132,116,451"/>
        <filter val="132,325,342"/>
        <filter val="132,705,593"/>
        <filter val="132,719,859"/>
        <filter val="132,902,353"/>
        <filter val="133,429,063"/>
        <filter val="133,644,670"/>
        <filter val="133,974,353"/>
        <filter val="134,718,113"/>
        <filter val="134,849,144"/>
        <filter val="135,262,014"/>
        <filter val="135,282,724"/>
        <filter val="135,552,216"/>
        <filter val="135,958,605"/>
        <filter val="136,514,405"/>
        <filter val="136,636,393"/>
        <filter val="136,972,269"/>
        <filter val="137,452,088"/>
        <filter val="137,497,794"/>
        <filter val="137,918,030"/>
        <filter val="138,171,551"/>
        <filter val="138,177,724"/>
        <filter val="138,304,524"/>
        <filter val="138,320,362"/>
        <filter val="138,376,249"/>
        <filter val="138,552,144"/>
        <filter val="138,684,486"/>
        <filter val="139,312,432"/>
        <filter val="139,421,757,777"/>
        <filter val="139,557,963,087"/>
        <filter val="139,790,931"/>
        <filter val="14,500,316,464"/>
        <filter val="140,225,220"/>
        <filter val="140,334,808"/>
        <filter val="140,481,365"/>
        <filter val="140,487,985"/>
        <filter val="141,402,139"/>
        <filter val="141,924,810"/>
        <filter val="142,814,620"/>
        <filter val="143,410,177"/>
        <filter val="143,516,650"/>
        <filter val="144,136,031"/>
        <filter val="144,392,471"/>
        <filter val="145,396,314"/>
        <filter val="146,056,665"/>
        <filter val="147,410,497"/>
        <filter val="147,427,508"/>
        <filter val="148,112,922"/>
        <filter val="148,204,606"/>
        <filter val="149,009,676"/>
        <filter val="149,160,432"/>
        <filter val="149,585,744"/>
        <filter val="150,567,970"/>
        <filter val="150,735,219"/>
        <filter val="150,822,545"/>
        <filter val="152,270,501"/>
        <filter val="152,280,145"/>
        <filter val="152,299,873"/>
        <filter val="152,423,026"/>
        <filter val="152,518,464,770"/>
        <filter val="152,634,738"/>
        <filter val="153,092,420"/>
        <filter val="153,538,090"/>
        <filter val="153,641,945"/>
        <filter val="154,498,365"/>
        <filter val="154,875,903"/>
        <filter val="155,114,125"/>
        <filter val="155,175,498"/>
        <filter val="155,692,136"/>
        <filter val="156,049,340"/>
        <filter val="156,282,248,386"/>
        <filter val="156,526,758"/>
        <filter val="157,641,408"/>
        <filter val="158,002,619"/>
        <filter val="158,313,579"/>
        <filter val="159,423,730"/>
        <filter val="159,530,273"/>
        <filter val="159,828,125"/>
        <filter val="16,093,757,530"/>
        <filter val="16,510,026,731"/>
        <filter val="160,601,269"/>
        <filter val="160,668,369"/>
        <filter val="160,720,806"/>
        <filter val="160,909,022"/>
        <filter val="160,984,794"/>
        <filter val="161,318,029"/>
        <filter val="161,415,650"/>
        <filter val="161,572,342"/>
        <filter val="161,924,394"/>
        <filter val="165,375,385"/>
        <filter val="165,698,720"/>
        <filter val="166,957,309,533"/>
        <filter val="167,437,168"/>
        <filter val="168,292,443"/>
        <filter val="169,751,221"/>
        <filter val="17,252,572"/>
        <filter val="17,344,976,672"/>
        <filter val="17,503,253,653"/>
        <filter val="17,762,846,758"/>
        <filter val="170,620,376"/>
        <filter val="170,928,672"/>
        <filter val="171,179,365"/>
        <filter val="171,982,635"/>
        <filter val="174,052,845"/>
        <filter val="174,304,302"/>
        <filter val="174,463,058"/>
        <filter val="174,488,214"/>
        <filter val="174,719,040"/>
        <filter val="174,847,368"/>
        <filter val="175,048,135"/>
        <filter val="175,113,226,661"/>
        <filter val="175,649,139"/>
        <filter val="176,370,619"/>
        <filter val="176,629,074"/>
        <filter val="177,840,409"/>
        <filter val="178,812,089"/>
        <filter val="179,136,398"/>
        <filter val="179,738,466"/>
        <filter val="18,003,406,897"/>
        <filter val="18,496,213,405"/>
        <filter val="18,631,831,017"/>
        <filter val="180,012,218"/>
        <filter val="180,474,721"/>
        <filter val="180,494,443"/>
        <filter val="180,617,856"/>
        <filter val="180,629,362"/>
        <filter val="180,962,466"/>
        <filter val="181,049,865"/>
        <filter val="181,530,634"/>
        <filter val="181,906,330"/>
        <filter val="182,914,362"/>
        <filter val="184,270,715"/>
        <filter val="184,300,553"/>
        <filter val="184,340,224"/>
        <filter val="184,854,949"/>
        <filter val="185,103,300"/>
        <filter val="185,448,602"/>
        <filter val="185,558,699"/>
        <filter val="185,672,034"/>
        <filter val="185,693,760"/>
        <filter val="186,058,645"/>
        <filter val="186,602,402"/>
        <filter val="187,317,786"/>
        <filter val="187,532,156"/>
        <filter val="188,762,595"/>
        <filter val="189,090,882"/>
        <filter val="189,382,820"/>
        <filter val="189,567,253"/>
        <filter val="19,292,796"/>
        <filter val="19,519,183,267"/>
        <filter val="19,553,943,412"/>
        <filter val="19,610,349,307"/>
        <filter val="19,624,596,025"/>
        <filter val="190,287,103"/>
        <filter val="190,325,867,193"/>
        <filter val="190,369,993"/>
        <filter val="191,176,543"/>
        <filter val="191,261,038"/>
        <filter val="191,352,072"/>
        <filter val="191,733,298"/>
        <filter val="191,834,517"/>
        <filter val="191,946,600"/>
        <filter val="192,373,042"/>
        <filter val="192,769,166,298"/>
        <filter val="193,007,181"/>
        <filter val="194,632,447"/>
        <filter val="195,197,066"/>
        <filter val="195,426,497,685"/>
        <filter val="195,771,701"/>
        <filter val="195,830,741"/>
        <filter val="195,973,409"/>
        <filter val="196,398,455"/>
        <filter val="196,439,801,125"/>
        <filter val="197,165,688"/>
        <filter val="197,425,737"/>
        <filter val="197,460,208"/>
        <filter val="198,376,709"/>
        <filter val="198,419,015"/>
        <filter val="198,552,835"/>
        <filter val="198,836,848"/>
        <filter val="198,909,873"/>
        <filter val="2,042,566,005"/>
        <filter val="2,112,269,773"/>
        <filter val="2,124,368,542"/>
        <filter val="2,148,508,650"/>
        <filter val="2,161,622,002"/>
        <filter val="20,517,118,751"/>
        <filter val="200,189,560"/>
        <filter val="200,255,392"/>
        <filter val="200,706,539"/>
        <filter val="200,743,627"/>
        <filter val="200,900,106"/>
        <filter val="201,593,266"/>
        <filter val="201,996,589"/>
        <filter val="202,232,501"/>
        <filter val="202,373,515,597"/>
        <filter val="202,516,784"/>
        <filter val="202,518,355"/>
        <filter val="202,796,518"/>
        <filter val="202,854,038"/>
        <filter val="203,200,189"/>
        <filter val="203,569,139"/>
        <filter val="204,601,767"/>
        <filter val="204,870,472"/>
        <filter val="205,333,551"/>
        <filter val="205,840,842"/>
        <filter val="206,210,736"/>
        <filter val="206,335,090"/>
        <filter val="207,358,309"/>
        <filter val="208,111,134"/>
        <filter val="208,507,569"/>
        <filter val="208,885,143"/>
        <filter val="209,072,895"/>
        <filter val="21,099,729,755"/>
        <filter val="21,221,908"/>
        <filter val="21,230,193,332"/>
        <filter val="21,442,390,242"/>
        <filter val="210,304,322"/>
        <filter val="210,498,737"/>
        <filter val="213,439,493"/>
        <filter val="213,936,201"/>
        <filter val="214,091,118"/>
        <filter val="214,114,988"/>
        <filter val="214,161,652"/>
        <filter val="215,516,005"/>
        <filter val="215,947,347"/>
        <filter val="215,958,358"/>
        <filter val="216,078,788,810"/>
        <filter val="216,624,554"/>
        <filter val="217,757,850"/>
        <filter val="218,167,227"/>
        <filter val="22,708,531"/>
        <filter val="220,248,646"/>
        <filter val="221,145,651"/>
        <filter val="221,468,191"/>
        <filter val="221,509,350,846"/>
        <filter val="221,660,933"/>
        <filter val="221,912,011"/>
        <filter val="222,599,301"/>
        <filter val="223,600,292"/>
        <filter val="223,741,001"/>
        <filter val="224,096,955"/>
        <filter val="224,231,009"/>
        <filter val="224,682,800"/>
        <filter val="228,173,273"/>
        <filter val="228,501,335"/>
        <filter val="228,505,542"/>
        <filter val="229,738,806"/>
        <filter val="229,786,924"/>
        <filter val="229,872,976"/>
        <filter val="23,194,870"/>
        <filter val="23,637,371,233"/>
        <filter val="230,221,459"/>
        <filter val="230,290,004"/>
        <filter val="230,497,004"/>
        <filter val="230,548,887"/>
        <filter val="230,712,193"/>
        <filter val="230,771,167"/>
        <filter val="231,333,876"/>
        <filter val="231,647,041"/>
        <filter val="232,163,537"/>
        <filter val="232,361,379,758"/>
        <filter val="232,544,126"/>
        <filter val="232,766,482"/>
        <filter val="233,065,584"/>
        <filter val="233,432,446"/>
        <filter val="235,285,967"/>
        <filter val="235,293,353"/>
        <filter val="235,387,725"/>
        <filter val="236,187,082"/>
        <filter val="236,283,174"/>
        <filter val="237,655,220"/>
        <filter val="239,542,015"/>
        <filter val="24,083,927"/>
        <filter val="24,993,711"/>
        <filter val="240,194,023"/>
        <filter val="240,735,868"/>
        <filter val="241,227,454,209"/>
        <filter val="242,168,661"/>
        <filter val="242,393,172"/>
        <filter val="242,555,013"/>
        <filter val="242,562,043"/>
        <filter val="244,937,474"/>
        <filter val="244,979,297"/>
        <filter val="245,545,689"/>
        <filter val="245,804,528"/>
        <filter val="246,005,699"/>
        <filter val="246,705,085"/>
        <filter val="246,887,334"/>
        <filter val="247,218,068"/>
        <filter val="247,422,268"/>
        <filter val="247,839,748"/>
        <filter val="248,104,841"/>
        <filter val="248,715,204"/>
        <filter val="25,242,505,699"/>
        <filter val="25,355,792,633"/>
        <filter val="25,554,634,518"/>
        <filter val="251,052,219"/>
        <filter val="251,778,343"/>
        <filter val="251,818,822"/>
        <filter val="251,820,210"/>
        <filter val="251,960,849"/>
        <filter val="252,167,759"/>
        <filter val="252,341,191"/>
        <filter val="252,421,205"/>
        <filter val="252,442,538"/>
        <filter val="252,671,238"/>
        <filter val="252,872,715"/>
        <filter val="253,088,909"/>
        <filter val="253,942,135"/>
        <filter val="254,291,828"/>
        <filter val="254,523,941"/>
        <filter val="254,882,227"/>
        <filter val="254,982,325"/>
        <filter val="255,107,403"/>
        <filter val="255,916,165"/>
        <filter val="256,426,562"/>
        <filter val="258,327,930"/>
        <filter val="259,606,699"/>
        <filter val="259,686,710"/>
        <filter val="26,074,352,096"/>
        <filter val="26,705,190"/>
        <filter val="26,757,987"/>
        <filter val="260,330,607"/>
        <filter val="262,075,972"/>
        <filter val="263,096,720"/>
        <filter val="264,188,793"/>
        <filter val="264,404,613"/>
        <filter val="264,622,643"/>
        <filter val="265,313,232"/>
        <filter val="267,518,103"/>
        <filter val="268,965,705"/>
        <filter val="269,304,570"/>
        <filter val="269,761,300"/>
        <filter val="27,077,056,286"/>
        <filter val="27,621,647,104"/>
        <filter val="27,733,207,768"/>
        <filter val="27,905,606,352"/>
        <filter val="270,077,684"/>
        <filter val="270,959,607"/>
        <filter val="272,732,920"/>
        <filter val="273,531,252"/>
        <filter val="274,239,706"/>
        <filter val="274,444,332"/>
        <filter val="274,461,755,420"/>
        <filter val="275,089,511"/>
        <filter val="276,641,122"/>
        <filter val="277,217,353"/>
        <filter val="277,733,708"/>
        <filter val="278,782,643"/>
        <filter val="279,659,550,591"/>
        <filter val="28,191,155"/>
        <filter val="280,580,269"/>
        <filter val="281,030,657"/>
        <filter val="282,876,304"/>
        <filter val="283,390,865"/>
        <filter val="283,786,388"/>
        <filter val="284,384,110"/>
        <filter val="285,364,065"/>
        <filter val="285,501,208"/>
        <filter val="285,800,304"/>
        <filter val="286,968,766"/>
        <filter val="287,801,509"/>
        <filter val="289,623,907"/>
        <filter val="289,810,058"/>
        <filter val="29,243,073,636"/>
        <filter val="29,723,990"/>
        <filter val="291,274,876"/>
        <filter val="291,819,004"/>
        <filter val="292,044,212"/>
        <filter val="293,031,546"/>
        <filter val="293,314,754"/>
        <filter val="294,127,270"/>
        <filter val="294,920,024"/>
        <filter val="295,162,538"/>
        <filter val="295,358,636"/>
        <filter val="295,605,666"/>
        <filter val="295,904,898"/>
        <filter val="296,512,455"/>
        <filter val="296,550,428"/>
        <filter val="297,065,326"/>
        <filter val="297,494,773"/>
        <filter val="30,726,870,226"/>
        <filter val="30,920,192,296"/>
        <filter val="300,123,366"/>
        <filter val="301,700,749"/>
        <filter val="301,887,363"/>
        <filter val="302,568,301"/>
        <filter val="303,114,275"/>
        <filter val="303,640,365"/>
        <filter val="303,766,523"/>
        <filter val="305,101,400"/>
        <filter val="306,084,959"/>
        <filter val="306,417,346"/>
        <filter val="306,644,881"/>
        <filter val="307,474,782"/>
        <filter val="308,029,489"/>
        <filter val="308,030,083"/>
        <filter val="308,314,492"/>
        <filter val="308,936,721"/>
        <filter val="309,133,055"/>
        <filter val="309,694,132"/>
        <filter val="31,153,596"/>
        <filter val="31,499,700,971"/>
        <filter val="31,650,906,946"/>
        <filter val="311,560,477"/>
        <filter val="311,922,369"/>
        <filter val="311,929,556"/>
        <filter val="315,208,691"/>
        <filter val="315,584,361"/>
        <filter val="315,979,901"/>
        <filter val="316,205,093"/>
        <filter val="317,712,868"/>
        <filter val="318,064,527,248"/>
        <filter val="319,307,120"/>
        <filter val="319,394,570"/>
        <filter val="319,423,459"/>
        <filter val="323,663,165"/>
        <filter val="323,717,566"/>
        <filter val="324,632,262"/>
        <filter val="325,341,971"/>
        <filter val="325,441,967"/>
        <filter val="326,211,838"/>
        <filter val="326,239,415"/>
        <filter val="326,313,901"/>
        <filter val="326,700,805"/>
        <filter val="327,157,920"/>
        <filter val="327,308,313"/>
        <filter val="328,464,010"/>
        <filter val="329,793,444"/>
        <filter val="33,082,649,345"/>
        <filter val="33,086,949"/>
        <filter val="33,933,406"/>
        <filter val="330,107,665"/>
        <filter val="330,115,672"/>
        <filter val="333,339,001"/>
        <filter val="333,405,069"/>
        <filter val="333,749,806"/>
        <filter val="334,124,998"/>
        <filter val="336,029,249"/>
        <filter val="336,605,219"/>
        <filter val="338,802,579"/>
        <filter val="339,158,512"/>
        <filter val="34,035,371,475"/>
        <filter val="34,411,268"/>
        <filter val="34,429,913,451"/>
        <filter val="34,809,139"/>
        <filter val="34,855,875"/>
        <filter val="34,888,626"/>
        <filter val="34,918,925,582"/>
        <filter val="340,951,262"/>
        <filter val="342,293,393"/>
        <filter val="342,763,680"/>
        <filter val="343,639,143"/>
        <filter val="343,816,725"/>
        <filter val="344,037,260"/>
        <filter val="344,089,911"/>
        <filter val="345,325,385"/>
        <filter val="345,539,434"/>
        <filter val="346,173,635"/>
        <filter val="347,649,504"/>
        <filter val="347,940,238"/>
        <filter val="347,956,195"/>
        <filter val="348,250,118"/>
        <filter val="348,613,133"/>
        <filter val="349,897,010"/>
        <filter val="352,089,318"/>
        <filter val="353,351,279"/>
        <filter val="353,513,309"/>
        <filter val="353,964,012"/>
        <filter val="354,038,940"/>
        <filter val="354,414,905"/>
        <filter val="355,325,477"/>
        <filter val="357,324,067"/>
        <filter val="358,144,985"/>
        <filter val="358,257,759"/>
        <filter val="36,086,375"/>
        <filter val="36,537,721"/>
        <filter val="36,931,174"/>
        <filter val="360,561,066"/>
        <filter val="361,491,356"/>
        <filter val="361,674,615"/>
        <filter val="363,290,643"/>
        <filter val="363,335,078"/>
        <filter val="363,964,345"/>
        <filter val="364,015,529"/>
        <filter val="364,161,315"/>
        <filter val="364,342,516"/>
        <filter val="364,700,047"/>
        <filter val="367,219,037"/>
        <filter val="367,789,267"/>
        <filter val="369,924,990"/>
        <filter val="37,868,774"/>
        <filter val="370,104,350"/>
        <filter val="370,177,037"/>
        <filter val="370,758,852"/>
        <filter val="371,434,803"/>
        <filter val="373,814,414"/>
        <filter val="374,189,217"/>
        <filter val="374,497,787"/>
        <filter val="376,859,987"/>
        <filter val="377,537,561"/>
        <filter val="378,108,584"/>
        <filter val="379,228,106"/>
        <filter val="379,366,662"/>
        <filter val="38,026,929"/>
        <filter val="38,682,840"/>
        <filter val="383,308,549"/>
        <filter val="385,022,361"/>
        <filter val="385,321,621"/>
        <filter val="386,027,727"/>
        <filter val="386,165,112"/>
        <filter val="386,443,034"/>
        <filter val="386,472,753"/>
        <filter val="39,106,460"/>
        <filter val="39,344,555"/>
        <filter val="39,885,432,351"/>
        <filter val="390,868,800"/>
        <filter val="394,683,371"/>
        <filter val="395,245,471"/>
        <filter val="395,322,502"/>
        <filter val="395,723,475"/>
        <filter val="396,267,917"/>
        <filter val="397,478,840"/>
        <filter val="397,949,568"/>
        <filter val="399,704,158"/>
        <filter val="399,749,174"/>
        <filter val="399,934,495"/>
        <filter val="4,359,109,130"/>
        <filter val="40,012,893"/>
        <filter val="40,266,330,090"/>
        <filter val="400,438,404"/>
        <filter val="401,354,369"/>
        <filter val="402,879,213"/>
        <filter val="404,876,700"/>
        <filter val="405,086,491"/>
        <filter val="405,353,617"/>
        <filter val="405,474,080"/>
        <filter val="406,489,222"/>
        <filter val="409,441,244"/>
        <filter val="41,357,994"/>
        <filter val="41,517,216"/>
        <filter val="41,659,052"/>
        <filter val="41,965,034"/>
        <filter val="411,266,447"/>
        <filter val="412,465,517"/>
        <filter val="412,627,379"/>
        <filter val="412,724,527"/>
        <filter val="413,391,933"/>
        <filter val="413,584,053"/>
        <filter val="414,267,295"/>
        <filter val="416,768,892"/>
        <filter val="419,103,340"/>
        <filter val="42,245,053"/>
        <filter val="42,777,378,114"/>
        <filter val="42,800,856"/>
        <filter val="42,874,648,583"/>
        <filter val="420,926,188"/>
        <filter val="422,598,104"/>
        <filter val="423,216,012"/>
        <filter val="423,738,229"/>
        <filter val="423,746,532,849"/>
        <filter val="425,481,838"/>
        <filter val="426,095,975"/>
        <filter val="429,040,467"/>
        <filter val="43,697,904"/>
        <filter val="43,727,837"/>
        <filter val="43,917,024"/>
        <filter val="43,993,939"/>
        <filter val="430,426,438"/>
        <filter val="430,588,168"/>
        <filter val="432,785,116"/>
        <filter val="432,929,827"/>
        <filter val="435,011,638"/>
        <filter val="435,505,121"/>
        <filter val="439,387,885"/>
        <filter val="439,643,355"/>
        <filter val="44,648,012,814"/>
        <filter val="440,213,642"/>
        <filter val="443,787,995"/>
        <filter val="446,875,942"/>
        <filter val="447,968,086"/>
        <filter val="449,878,857"/>
        <filter val="45,174,517"/>
        <filter val="45,475,419,267"/>
        <filter val="45,563,759"/>
        <filter val="45,757,333"/>
        <filter val="450,101,886"/>
        <filter val="451,130,418"/>
        <filter val="451,812,720"/>
        <filter val="451,819,056"/>
        <filter val="454,069,822"/>
        <filter val="454,173,820"/>
        <filter val="456,560,529"/>
        <filter val="456,649,521"/>
        <filter val="457,350,471"/>
        <filter val="458,004,729"/>
        <filter val="459,114,462"/>
        <filter val="459,706,474"/>
        <filter val="46,440,257"/>
        <filter val="46,531,643"/>
        <filter val="46,960,050"/>
        <filter val="462,205,061"/>
        <filter val="463,787,703"/>
        <filter val="467,843,509"/>
        <filter val="469,625,859"/>
        <filter val="47,186,116"/>
        <filter val="47,530,827"/>
        <filter val="47,733,604"/>
        <filter val="47,772,073"/>
        <filter val="47,985,087,285"/>
        <filter val="476,500,380"/>
        <filter val="476,770,388"/>
        <filter val="476,976,519"/>
        <filter val="48,333,433"/>
        <filter val="48,393,205"/>
        <filter val="48,886,570"/>
        <filter val="482,535,162"/>
        <filter val="485,442,305"/>
        <filter val="49,027,819"/>
        <filter val="49,089,568"/>
        <filter val="49,181,326"/>
        <filter val="49,345,948"/>
        <filter val="49,485,917"/>
        <filter val="49,505,760"/>
        <filter val="49,746,199"/>
        <filter val="49,829,058"/>
        <filter val="49,961,271"/>
        <filter val="490,446,356"/>
        <filter val="490,489,850"/>
        <filter val="492,177,425"/>
        <filter val="493,082,362"/>
        <filter val="495,559,430"/>
        <filter val="496,028,409"/>
        <filter val="497,038,901"/>
        <filter val="498,569,346"/>
        <filter val="499,174,141"/>
        <filter val="499,883,904"/>
        <filter val="50,600,724"/>
        <filter val="50,903,927,800"/>
        <filter val="501,645,724"/>
        <filter val="503,450,070"/>
        <filter val="504,459,803"/>
        <filter val="507,095,759"/>
        <filter val="509,576,320"/>
        <filter val="509,677,754"/>
        <filter val="51,836,710"/>
        <filter val="510,537,150"/>
        <filter val="511,640,253"/>
        <filter val="514,686,959"/>
        <filter val="514,735,563"/>
        <filter val="515,010,678"/>
        <filter val="518,308,558"/>
        <filter val="519,555,219"/>
        <filter val="52,409,742,944"/>
        <filter val="52,410,195"/>
        <filter val="52,452,638"/>
        <filter val="52,571,091"/>
        <filter val="52,636,201,372"/>
        <filter val="52,685,074,233"/>
        <filter val="52,747,027"/>
        <filter val="521,563,902"/>
        <filter val="521,774,551"/>
        <filter val="521,789,231"/>
        <filter val="527,399,821"/>
        <filter val="527,979,561"/>
        <filter val="528,092,438"/>
        <filter val="528,434,365"/>
        <filter val="530,735,742"/>
        <filter val="531,509,062"/>
        <filter val="533,691,962"/>
        <filter val="533,952,398"/>
        <filter val="535,490,866"/>
        <filter val="538,355,263"/>
        <filter val="539,709,697"/>
        <filter val="54,239,715"/>
        <filter val="54,595,397"/>
        <filter val="540,693,827"/>
        <filter val="541,111,739"/>
        <filter val="541,631,672"/>
        <filter val="542,552,070"/>
        <filter val="542,643,226"/>
        <filter val="545,505,926"/>
        <filter val="545,790,773"/>
        <filter val="545,838,234"/>
        <filter val="549,473,900"/>
        <filter val="55,311,034,175"/>
        <filter val="55,327,427"/>
        <filter val="55,426,722"/>
        <filter val="55,671,853"/>
        <filter val="55,718,011"/>
        <filter val="55,891,297,943"/>
        <filter val="550,381,040"/>
        <filter val="552,894,431"/>
        <filter val="557,138,457"/>
        <filter val="557,822,100"/>
        <filter val="558,466,602"/>
        <filter val="558,984,324"/>
        <filter val="559,248,153"/>
        <filter val="559,878,942"/>
        <filter val="56,055,657"/>
        <filter val="56,576,499,825"/>
        <filter val="560,964,483"/>
        <filter val="561,578,648"/>
        <filter val="561,789,934"/>
        <filter val="565,764,576"/>
        <filter val="566,826,971"/>
        <filter val="568,211,253"/>
        <filter val="57,442,535"/>
        <filter val="57,893,296"/>
        <filter val="573,035,254"/>
        <filter val="578,372,087"/>
        <filter val="58,022,187"/>
        <filter val="58,087,868"/>
        <filter val="58,483,914"/>
        <filter val="58,556,986,853"/>
        <filter val="58,711,592"/>
        <filter val="58,802,723"/>
        <filter val="586,692,586"/>
        <filter val="587,067,056"/>
        <filter val="588,667,350"/>
        <filter val="59,771,822"/>
        <filter val="590,868,276"/>
        <filter val="591,998,683"/>
        <filter val="594,158,821"/>
        <filter val="595,016,855"/>
        <filter val="596,964,336"/>
        <filter val="598,164,527"/>
        <filter val="6,857,059,677"/>
        <filter val="60,471,158,382"/>
        <filter val="60,893,477"/>
        <filter val="604,074,532"/>
        <filter val="605,404,400"/>
        <filter val="608,342,763"/>
        <filter val="611,010,247"/>
        <filter val="617,145,419"/>
        <filter val="617,859,009"/>
        <filter val="619,843,951"/>
        <filter val="62,341,337"/>
        <filter val="62,430,529,815"/>
        <filter val="621,456,070"/>
        <filter val="621,619,628"/>
        <filter val="622,857,365"/>
        <filter val="623,939,989"/>
        <filter val="627,119,730"/>
        <filter val="627,543,415"/>
        <filter val="628,905,388"/>
        <filter val="63,277,430"/>
        <filter val="63,986,743"/>
        <filter val="630,256,153"/>
        <filter val="635,819,465"/>
        <filter val="638,287,159"/>
        <filter val="64,250,072"/>
        <filter val="64,364,776,951"/>
        <filter val="640,839,163"/>
        <filter val="640,939,227"/>
        <filter val="642,133,876"/>
        <filter val="646,777,749"/>
        <filter val="65,207,751"/>
        <filter val="65,540,807"/>
        <filter val="65,911,408"/>
        <filter val="650,051,190"/>
        <filter val="653,550,289"/>
        <filter val="655,078,417"/>
        <filter val="657,047,859"/>
        <filter val="657,982,708"/>
        <filter val="66,341,421"/>
        <filter val="66,589,516"/>
        <filter val="66,656,018"/>
        <filter val="66,845,613"/>
        <filter val="660,971,706"/>
        <filter val="663,870,659"/>
        <filter val="67,018,435"/>
        <filter val="67,111,416"/>
        <filter val="67,163,446"/>
        <filter val="67,283,064"/>
        <filter val="67,357,321"/>
        <filter val="67,611,150"/>
        <filter val="67,619,115,601"/>
        <filter val="67,714,562"/>
        <filter val="67,767,472"/>
        <filter val="67,932,966"/>
        <filter val="67,970,895"/>
        <filter val="68,338,555"/>
        <filter val="68,589,981"/>
        <filter val="68,829,076,422"/>
        <filter val="68,979,284"/>
        <filter val="682,230,063"/>
        <filter val="682,968,839"/>
        <filter val="688,112,763"/>
        <filter val="688,350,098"/>
        <filter val="692,001,227"/>
        <filter val="692,333,587"/>
        <filter val="692,843,404"/>
        <filter val="694,788,279"/>
        <filter val="696,394,001"/>
        <filter val="697,409,495"/>
        <filter val="699,188,504"/>
        <filter val="699,732,964"/>
        <filter val="70,596,978"/>
        <filter val="70,869,637"/>
        <filter val="700,231,671"/>
        <filter val="700,544,470"/>
        <filter val="701,732,805"/>
        <filter val="709,868,734"/>
        <filter val="71,401,077"/>
        <filter val="71,410,449"/>
        <filter val="716,503,212"/>
        <filter val="718,158,943"/>
        <filter val="718,490,678"/>
        <filter val="719,288,842"/>
        <filter val="72,296,383,093"/>
        <filter val="72,907,969"/>
        <filter val="726,157,476"/>
        <filter val="727,083,005"/>
        <filter val="728,659,706"/>
        <filter val="729,589,097"/>
        <filter val="73,126,223,636"/>
        <filter val="73,811,247"/>
        <filter val="73,882,768"/>
        <filter val="732,537,707"/>
        <filter val="738,175,794"/>
        <filter val="738,447,599"/>
        <filter val="738,531,702"/>
        <filter val="738,645,787"/>
        <filter val="74,094,912"/>
        <filter val="74,490,422"/>
        <filter val="743,838,988"/>
        <filter val="748,336,637"/>
        <filter val="749,115,798"/>
        <filter val="749,258,049"/>
        <filter val="75,386,524"/>
        <filter val="75,925,825"/>
        <filter val="750,461,013"/>
        <filter val="753,272,811"/>
        <filter val="76,453,214"/>
        <filter val="76,651,634"/>
        <filter val="764,972,151"/>
        <filter val="77,550,973"/>
        <filter val="77,581,247,745"/>
        <filter val="771,623,891"/>
        <filter val="776,532,271"/>
        <filter val="778,034,012"/>
        <filter val="779,339,026,638"/>
        <filter val="78,427,347"/>
        <filter val="78,454,866"/>
        <filter val="78,516,101,125"/>
        <filter val="78,583,548"/>
        <filter val="78,856,077"/>
        <filter val="780,701,035"/>
        <filter val="785,552,833"/>
        <filter val="785,568,166"/>
        <filter val="788,230,794"/>
        <filter val="788,938,812"/>
        <filter val="789,972,744"/>
        <filter val="79,617,884"/>
        <filter val="79,782,567"/>
        <filter val="8,686,098,458,940"/>
        <filter val="80,241,447"/>
        <filter val="80,264,723,410"/>
        <filter val="80,930,928"/>
        <filter val="805,994,179"/>
        <filter val="806,596,748"/>
        <filter val="81,585,647"/>
        <filter val="818,361,988"/>
        <filter val="82,040,782,979"/>
        <filter val="82,198,315"/>
        <filter val="82,360,595"/>
        <filter val="82,524,740"/>
        <filter val="820,404,963"/>
        <filter val="821,810,573"/>
        <filter val="825,127,762"/>
        <filter val="83,502,478"/>
        <filter val="83,660,241"/>
        <filter val="83,790,024"/>
        <filter val="83,814,532"/>
        <filter val="83,823,412"/>
        <filter val="83,897,933,693"/>
        <filter val="832,021,825"/>
        <filter val="832,027,501"/>
        <filter val="833,252,074"/>
        <filter val="833,681,875"/>
        <filter val="834,208,188"/>
        <filter val="834,910,664"/>
        <filter val="835,628,351"/>
        <filter val="84,113,305"/>
        <filter val="84,187,397"/>
        <filter val="84,441,669"/>
        <filter val="844,804,350"/>
        <filter val="847,299,682"/>
        <filter val="849,221,329"/>
        <filter val="85,041,400"/>
        <filter val="85,292,326"/>
        <filter val="85,587,480"/>
        <filter val="85,696,986"/>
        <filter val="85,861,214"/>
        <filter val="85,944,905,518"/>
        <filter val="851,662,104"/>
        <filter val="852,035,482"/>
        <filter val="854,542,805"/>
        <filter val="86,141,524"/>
        <filter val="86,832,061"/>
        <filter val="86,944,112"/>
        <filter val="86,975,931"/>
        <filter val="866,032,413"/>
        <filter val="866,774,179"/>
        <filter val="87,093,431"/>
        <filter val="87,218,377"/>
        <filter val="87,455,560"/>
        <filter val="87,525,120"/>
        <filter val="87,643,582"/>
        <filter val="87,669,867"/>
        <filter val="87,918,455,161"/>
        <filter val="875,906,901"/>
        <filter val="88,509,388"/>
        <filter val="88,773,187"/>
        <filter val="886,555,880"/>
        <filter val="89,364,597"/>
        <filter val="89,628,481"/>
        <filter val="89,748,247"/>
        <filter val="89,864,850,210"/>
        <filter val="896,795,989"/>
        <filter val="90,019,255"/>
        <filter val="90,036,539"/>
        <filter val="90,041,530"/>
        <filter val="90,218,094,649"/>
        <filter val="90,546,455"/>
        <filter val="90,836,718"/>
        <filter val="906,110,187"/>
        <filter val="906,499,958"/>
        <filter val="909,812,464"/>
        <filter val="910,042,495"/>
        <filter val="913,590,297"/>
        <filter val="92,215,903"/>
        <filter val="92,618,093"/>
        <filter val="92,814,492"/>
        <filter val="928,232,870"/>
        <filter val="93,372,835"/>
        <filter val="938,582,956"/>
        <filter val="939,317,801"/>
        <filter val="939,704,371"/>
        <filter val="94,103,734"/>
        <filter val="94,553,148"/>
        <filter val="942,187,195"/>
        <filter val="945,624,711"/>
        <filter val="952,767,103"/>
        <filter val="958,733,810"/>
        <filter val="96,905,037"/>
        <filter val="96,915,700"/>
        <filter val="962,246,279"/>
        <filter val="966,249,962"/>
        <filter val="968,701,635"/>
        <filter val="969,745,707"/>
        <filter val="97,119,119"/>
        <filter val="97,144,590"/>
        <filter val="97,457,809"/>
        <filter val="97,729,743,459"/>
        <filter val="972,668,324"/>
        <filter val="973,982,904"/>
        <filter val="975,426,538"/>
        <filter val="98,423,892"/>
        <filter val="98,536,656"/>
        <filter val="98,553,953"/>
        <filter val="98,658,778"/>
        <filter val="98,947,474"/>
        <filter val="980,434,697"/>
        <filter val="99,188,885"/>
        <filter val="99,295,705"/>
      </filters>
    </filterColumn>
  </autoFilter>
  <mergeCells count="24">
    <mergeCell ref="F1:H1"/>
    <mergeCell ref="A1136:E1136"/>
    <mergeCell ref="A1:A2"/>
    <mergeCell ref="C1:C2"/>
    <mergeCell ref="D1:D2"/>
    <mergeCell ref="E1:E2"/>
    <mergeCell ref="B1:B2"/>
    <mergeCell ref="BD1:BG1"/>
    <mergeCell ref="U1:U2"/>
    <mergeCell ref="V1:X1"/>
    <mergeCell ref="Y1:AB1"/>
    <mergeCell ref="AC1:AC2"/>
    <mergeCell ref="AD1:AG1"/>
    <mergeCell ref="AN1:AN2"/>
    <mergeCell ref="AM1:AM2"/>
    <mergeCell ref="AH1:AL1"/>
    <mergeCell ref="AO1:AS1"/>
    <mergeCell ref="AT1:AZ1"/>
    <mergeCell ref="BA1:BB1"/>
    <mergeCell ref="BC1:BC2"/>
    <mergeCell ref="I1:L1"/>
    <mergeCell ref="M1:M2"/>
    <mergeCell ref="N1:P1"/>
    <mergeCell ref="Q1:T1"/>
  </mergeCells>
  <hyperlinks>
    <hyperlink ref="E860" r:id="rId1" xr:uid="{00000000-0004-0000-0000-000000000000}"/>
    <hyperlink ref="E561" r:id="rId2" xr:uid="{00000000-0004-0000-0000-000001000000}"/>
    <hyperlink ref="E725" r:id="rId3" xr:uid="{00000000-0004-0000-0000-000002000000}"/>
    <hyperlink ref="E623" r:id="rId4" xr:uid="{00000000-0004-0000-0000-000003000000}"/>
    <hyperlink ref="E168" r:id="rId5" xr:uid="{00000000-0004-0000-0000-000004000000}"/>
    <hyperlink ref="E768" r:id="rId6" xr:uid="{00000000-0004-0000-0000-000005000000}"/>
    <hyperlink ref="E1123" r:id="rId7" xr:uid="{00000000-0004-0000-0000-000006000000}"/>
    <hyperlink ref="E315" r:id="rId8" xr:uid="{00000000-0004-0000-0000-000007000000}"/>
    <hyperlink ref="E121" r:id="rId9" xr:uid="{00000000-0004-0000-0000-000008000000}"/>
    <hyperlink ref="E552" r:id="rId10" xr:uid="{00000000-0004-0000-0000-000009000000}"/>
    <hyperlink ref="E857" r:id="rId11" xr:uid="{00000000-0004-0000-0000-00000A000000}"/>
    <hyperlink ref="E1066" r:id="rId12" xr:uid="{00000000-0004-0000-0000-00000B000000}"/>
    <hyperlink ref="E510" r:id="rId13" xr:uid="{00000000-0004-0000-0000-00000C000000}"/>
    <hyperlink ref="E541" r:id="rId14" xr:uid="{00000000-0004-0000-0000-00000D000000}"/>
    <hyperlink ref="E564" r:id="rId15" xr:uid="{00000000-0004-0000-0000-00000E000000}"/>
    <hyperlink ref="E796" r:id="rId16" xr:uid="{00000000-0004-0000-0000-00000F000000}"/>
    <hyperlink ref="E884" r:id="rId17" xr:uid="{00000000-0004-0000-0000-000010000000}"/>
    <hyperlink ref="E664" r:id="rId18" xr:uid="{00000000-0004-0000-0000-000011000000}"/>
    <hyperlink ref="E749" r:id="rId19" xr:uid="{00000000-0004-0000-0000-000012000000}"/>
    <hyperlink ref="E678" r:id="rId20" xr:uid="{00000000-0004-0000-0000-000013000000}"/>
    <hyperlink ref="E603" r:id="rId21" xr:uid="{00000000-0004-0000-0000-000014000000}"/>
    <hyperlink ref="E898" r:id="rId22" xr:uid="{00000000-0004-0000-0000-000015000000}"/>
    <hyperlink ref="E243" r:id="rId23" xr:uid="{00000000-0004-0000-0000-000016000000}"/>
    <hyperlink ref="E456" r:id="rId24" xr:uid="{00000000-0004-0000-0000-000017000000}"/>
    <hyperlink ref="E282" r:id="rId25" xr:uid="{00000000-0004-0000-0000-000018000000}"/>
    <hyperlink ref="E663" r:id="rId26" xr:uid="{00000000-0004-0000-0000-000019000000}"/>
    <hyperlink ref="E298" r:id="rId27" xr:uid="{00000000-0004-0000-0000-00001A000000}"/>
    <hyperlink ref="E164" r:id="rId28" xr:uid="{00000000-0004-0000-0000-00001B000000}"/>
    <hyperlink ref="E492" r:id="rId29" xr:uid="{00000000-0004-0000-0000-00001C000000}"/>
    <hyperlink ref="E319" r:id="rId30" xr:uid="{00000000-0004-0000-0000-00001D000000}"/>
    <hyperlink ref="E240" r:id="rId31" xr:uid="{00000000-0004-0000-0000-00001E000000}"/>
    <hyperlink ref="E330" r:id="rId32" xr:uid="{00000000-0004-0000-0000-00001F000000}"/>
    <hyperlink ref="E358" r:id="rId33" xr:uid="{00000000-0004-0000-0000-000020000000}"/>
    <hyperlink ref="E491" r:id="rId34" xr:uid="{00000000-0004-0000-0000-000021000000}"/>
    <hyperlink ref="E951" r:id="rId35" xr:uid="{00000000-0004-0000-0000-000022000000}"/>
    <hyperlink ref="E761" r:id="rId36" xr:uid="{00000000-0004-0000-0000-000023000000}"/>
    <hyperlink ref="E509" r:id="rId37" display="mailto:tesoreria@lamontanita-caqueta.gov.co" xr:uid="{00000000-0004-0000-0000-000024000000}"/>
    <hyperlink ref="E51" r:id="rId38" xr:uid="{00000000-0004-0000-0000-000025000000}"/>
    <hyperlink ref="E310" r:id="rId39" display="yhernandez@valledelcauca.gov.co" xr:uid="{00000000-0004-0000-0000-000026000000}"/>
    <hyperlink ref="E139" r:id="rId40" xr:uid="{00000000-0004-0000-0000-000027000000}"/>
    <hyperlink ref="E498" r:id="rId41" xr:uid="{00000000-0004-0000-0000-000028000000}"/>
    <hyperlink ref="E814" r:id="rId42" xr:uid="{5204EF53-B4AF-4059-B7F9-68752DF334D9}"/>
    <hyperlink ref="E90" r:id="rId43" xr:uid="{52F158F8-18E0-44DD-8B27-36D2CBE650D8}"/>
    <hyperlink ref="E301" r:id="rId44" xr:uid="{82498DDE-0053-4B31-8526-465BCA5A52D9}"/>
    <hyperlink ref="E303" r:id="rId45" xr:uid="{F56B33BB-BF09-429E-8697-81EF5B21964F}"/>
    <hyperlink ref="E153" r:id="rId46" xr:uid="{139366E4-ECEB-40E5-B206-474FE43129F4}"/>
    <hyperlink ref="E473" r:id="rId47" display="mailto:Alexander.cardona@itagui.gov.co" xr:uid="{45F666EC-4B90-499C-9D90-38A79C38C0ED}"/>
    <hyperlink ref="E528" r:id="rId48" xr:uid="{65C90646-5855-4794-AC86-665C1DABECC5}"/>
  </hyperlinks>
  <printOptions horizontalCentered="1"/>
  <pageMargins left="1.1811023622047245" right="0.39370078740157483" top="0.78740157480314965" bottom="0.78740157480314965" header="0" footer="0"/>
  <pageSetup paperSize="5" scale="65" orientation="landscape" horizontalDpi="300" verticalDpi="300" r:id="rId49"/>
  <headerFooter alignWithMargins="0">
    <oddFooter>&amp;L&amp;8Archivo: jfontecha\SGP\&amp;F&amp;C&amp;8Fecha de Impresión  &amp;D</oddFooter>
  </headerFooter>
  <legacyDrawing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SGP JUNIO 2018</vt:lpstr>
      <vt:lpstr>'SGP JUNIO 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Isabel Gamboa Gamboa</dc:creator>
  <cp:lastModifiedBy>Doris Patricia Herrera Reyes</cp:lastModifiedBy>
  <cp:lastPrinted>2014-07-29T16:06:45Z</cp:lastPrinted>
  <dcterms:created xsi:type="dcterms:W3CDTF">2014-04-28T22:59:51Z</dcterms:created>
  <dcterms:modified xsi:type="dcterms:W3CDTF">2018-07-17T15:01:34Z</dcterms:modified>
</cp:coreProperties>
</file>