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95" windowHeight="7950" tabRatio="858" activeTab="0"/>
  </bookViews>
  <sheets>
    <sheet name="Otras Transf_Universidades" sheetId="1" r:id="rId1"/>
    <sheet name="Hoja3" sheetId="2" r:id="rId2"/>
    <sheet name="Hoja2" sheetId="3" r:id="rId3"/>
    <sheet name="Hoja1" sheetId="4" r:id="rId4"/>
  </sheets>
  <definedNames>
    <definedName name="_xlnm._FilterDatabase" localSheetId="0" hidden="1">'Otras Transf_Universidades'!$AF$3:$AI$55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<sst xmlns="http://schemas.openxmlformats.org/spreadsheetml/2006/main" count="381" uniqueCount="221">
  <si>
    <t>SALDOS DE CUENTAS DEL GASTO - OTRAS TRANSFERENCIAS</t>
  </si>
  <si>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</si>
  <si>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</si>
  <si>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</si>
  <si>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</si>
  <si>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</si>
  <si>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</si>
  <si>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</si>
  <si>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</si>
  <si>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</si>
  <si>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</si>
  <si>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direccion@ufpso.edu.co</t>
  </si>
  <si>
    <t>UNIVERSIDAD MILITAR  NUEVA GRA</t>
  </si>
  <si>
    <t>contumng@umng.edu.co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</si>
  <si>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</si>
  <si>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</si>
  <si>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</si>
  <si>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</si>
  <si>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</si>
  <si>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jorge.aldana@unad.edu.co</t>
  </si>
  <si>
    <t>SOCIEDAD FIDUCIARIA LA PREVISO</t>
  </si>
  <si>
    <t>wmontana@fiduprevisora.com.co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</si>
  <si>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</si>
  <si>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</si>
  <si>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</si>
  <si>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</si>
  <si>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</si>
  <si>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</si>
  <si>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</si>
  <si>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alexacol@univalle.edu.co</t>
  </si>
  <si>
    <t>UNIVERSIDAD DE CARTAGENA</t>
  </si>
  <si>
    <t>rodolforondon@yahoo.com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</si>
  <si>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</si>
  <si>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</si>
  <si>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</si>
  <si>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</si>
  <si>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</si>
  <si>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</si>
  <si>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</si>
  <si>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</si>
  <si>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</si>
  <si>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</si>
  <si>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contabil@ucaldas.edu.co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</si>
  <si>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</si>
  <si>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</si>
  <si>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</si>
  <si>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</si>
  <si>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</si>
  <si>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</si>
  <si>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</si>
  <si>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</si>
  <si>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contabilidad@unicordoba.edu.co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</si>
  <si>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</si>
  <si>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</si>
  <si>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</si>
  <si>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</si>
  <si>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</si>
  <si>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contabilidad@guadalajaradebuga-valle.gov.co</t>
  </si>
  <si>
    <t>UNIVERSIDAD TECNOLÓGICA DE PER</t>
  </si>
  <si>
    <t>luzdary@utp.edu.co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</si>
  <si>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</si>
  <si>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</si>
  <si>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</si>
  <si>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</si>
  <si>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</si>
  <si>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</si>
  <si>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</si>
  <si>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</si>
  <si>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</si>
  <si>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</si>
  <si>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</si>
  <si>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</si>
  <si>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</si>
  <si>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jossa@uceva.edu.co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</si>
  <si>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</si>
  <si>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</si>
  <si>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</si>
  <si>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</si>
  <si>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</si>
  <si>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</si>
  <si>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</si>
  <si>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gestioncontable@unicesar.edu.co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</si>
  <si>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</si>
  <si>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</si>
  <si>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</si>
  <si>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</si>
  <si>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</si>
  <si>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</si>
  <si>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</si>
  <si>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</si>
  <si>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</si>
  <si>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</si>
  <si>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</si>
  <si>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</si>
  <si>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</si>
  <si>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contaduriabello@une.net.co</t>
  </si>
  <si>
    <t>INST.SUP. ISER DE PAMPLONA</t>
  </si>
  <si>
    <t>INST.EDUC.TEC.ROLDANILLO</t>
  </si>
  <si>
    <t xml:space="preserve">TOTAL SALDO </t>
  </si>
  <si>
    <t xml:space="preserve"> </t>
  </si>
  <si>
    <t>542301 Para pago de pensiones y/o cesantias</t>
  </si>
  <si>
    <t>542302 Para Proyectos de Inversión</t>
  </si>
  <si>
    <t>542303 Para gastos de funcionamiento</t>
  </si>
  <si>
    <t>542390 Otras Transferencias</t>
  </si>
  <si>
    <t>ruthgarcia@unicolmayor.edu.co</t>
  </si>
  <si>
    <t>jmlopez@ut.edu.co</t>
  </si>
  <si>
    <t>finanzas@intep.edu.co   contabilidad@intep.edu.co</t>
  </si>
  <si>
    <t>malena.burgos@uptc.edu.co</t>
  </si>
  <si>
    <t>wbenavides@unicauca.edu.co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</si>
  <si>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</si>
  <si>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</si>
  <si>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</si>
  <si>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</si>
  <si>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</si>
  <si>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</si>
  <si>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</si>
  <si>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</si>
  <si>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</si>
  <si>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</si>
  <si>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</si>
  <si>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</si>
  <si>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</si>
  <si>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</si>
  <si>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</si>
  <si>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</si>
  <si>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</si>
  <si>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</si>
  <si>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</si>
  <si>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</si>
  <si>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</si>
  <si>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</si>
  <si>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</si>
  <si>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</si>
  <si>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</si>
  <si>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</si>
  <si>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</si>
  <si>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</si>
  <si>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</si>
  <si>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</si>
  <si>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</si>
  <si>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</si>
  <si>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</si>
  <si>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</si>
  <si>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</si>
  <si>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</si>
  <si>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</si>
  <si>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</si>
  <si>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</si>
  <si>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</si>
  <si>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</si>
  <si>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</si>
  <si>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</si>
  <si>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</si>
  <si>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</si>
  <si>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</si>
  <si>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</si>
  <si>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</si>
  <si>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</si>
  <si>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</si>
  <si>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</si>
  <si>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</si>
  <si>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</si>
  <si>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</si>
  <si>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</si>
  <si>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UNIVERSIDAD TECNOLOGICA DEL CHOCO</t>
  </si>
  <si>
    <t>UNIVERSIDAD COLEGIO MAYOR DE CUNDINAMARCA</t>
  </si>
  <si>
    <t>UNIVERSIDAD INDUSTRIAL DE SANTANDER</t>
  </si>
  <si>
    <t>UNIVERSIDAD MILITAR NUEVA GRANADA</t>
  </si>
  <si>
    <t>UNIVERSIDAD NACIONAL DE COLOMBIA</t>
  </si>
  <si>
    <t>UNIVERSIDAD TECNOLOGICA DE PEREIRA</t>
  </si>
  <si>
    <t>UNIVERSIDAD DEL MAGDALENA</t>
  </si>
  <si>
    <t>UNIVERSIDAD DISTRITAL FRANCISCO JOSE DE CALDAS</t>
  </si>
  <si>
    <t>UNIVERSIDAD NACIONAL ABIERTA Y A DISTANCIA</t>
  </si>
  <si>
    <t>UNIVERSIDAD PEDAGOGICA NACIONAL</t>
  </si>
  <si>
    <t>UNIVERSIDAD PEDAGOGICA Y TECNOLOGICA DE COLOMBIA</t>
  </si>
  <si>
    <t>UNIDAD CENTRAL DEL VALLE DEL CAUCA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</si>
  <si>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</si>
  <si>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</si>
  <si>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</si>
  <si>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</si>
  <si>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MOVIMIENTOS DE FEBRERO</t>
  </si>
  <si>
    <t>INSTITUTO TECNOLOGICO DE SOLEDAD - ATLANTICO ITSA</t>
  </si>
  <si>
    <t>INSTITUTO SUPERIOR DE EDUCACION RURAL DE PAMPLONA - ISER</t>
  </si>
  <si>
    <t>COLEGIO INTEGRADO NACIONAL ORIENTE DE CALDAS</t>
  </si>
  <si>
    <t>INSTITUTO TECNOLOGICO PASCUAL BRAVO - MEDELLIN</t>
  </si>
  <si>
    <t>INSTITUTO NACIONAL DE FORMACION TECNICA PROFESIONAL DE CIENAGA</t>
  </si>
  <si>
    <t>INSTITUTO DE EDUCACION TECNICA PROFESIONAL DE ROLDANILLO</t>
  </si>
  <si>
    <t>INSTITUTO TECNICO AGRICOLA - ITA - DE BUGA</t>
  </si>
  <si>
    <t>INSTITUTO TECNOLOGICO DEL PUTUMAYO</t>
  </si>
  <si>
    <t>BIBLIOTECA PUBLICA PILOTO DE MEDELLIN PARA AMERICA LATINA</t>
  </si>
  <si>
    <t>COLEGIO DE BOYACA</t>
  </si>
  <si>
    <t>Excel</t>
  </si>
  <si>
    <t>EMPRESA DE TELECOMUNICACIONES DE BOGOTA SA ESP</t>
  </si>
  <si>
    <t>CODENSA S.A ESP</t>
  </si>
  <si>
    <t>CARL HENRIK LANGEBAEK RUEDA</t>
  </si>
  <si>
    <t>ALVARO  ZAPATA DOMINGUEZ</t>
  </si>
  <si>
    <t>FRANCO ALIRIO VALLEJO CABRERA</t>
  </si>
  <si>
    <t>PEDRO ANTONIO PRIETO PULIDO</t>
  </si>
  <si>
    <t>JAIME EDUARDO BERNAL VILLEGAS</t>
  </si>
  <si>
    <t>LORENA  GARTNER ISAZA</t>
  </si>
  <si>
    <t xml:space="preserve">DIANA MARIA RAMIREZ </t>
  </si>
  <si>
    <t>EDIFICIO ANGEL PROPIEDAD HORIZONTAL</t>
  </si>
  <si>
    <t>UNION TEMPORAL LOGISTICA INESCA-1</t>
  </si>
  <si>
    <t>SIIF</t>
  </si>
  <si>
    <t>Etiquetas de fila</t>
  </si>
  <si>
    <t>Total general</t>
  </si>
  <si>
    <t>Suma de Excel</t>
  </si>
  <si>
    <t>Suma de SIIF</t>
  </si>
  <si>
    <t>MOVIMIENTOS DE MARZO</t>
  </si>
  <si>
    <t>SALDOS A 30 MARZO DEL 2012</t>
  </si>
  <si>
    <t>SALDOS A 30 FEBRERO DEL 2012</t>
  </si>
  <si>
    <t>SALDOS A 30 ENERO DEL 2012</t>
  </si>
  <si>
    <t>MOVIMIENTOS DE ABRIL</t>
  </si>
  <si>
    <t>SALDOS A 30 ABRIL DEL 2012</t>
  </si>
  <si>
    <t>411061 Contribuciones</t>
  </si>
  <si>
    <t>INSTITUTO TECNICO NACIONAL DE COMERCIO SIMON RODRIGUEZ DE CALI</t>
  </si>
  <si>
    <t>MOVIMIENTOS DE MAYO</t>
  </si>
  <si>
    <t>SALDOS A 30 MAYO DEL 2012</t>
  </si>
  <si>
    <t>Mayo</t>
  </si>
  <si>
    <t>Total Mayo</t>
  </si>
  <si>
    <t>INVERSION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</si>
</sst>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[$€-2]* #,##0.00_);_([$€-2]* \(#,##0.00\);_([$€-2]* &quot;-&quot;??_)"/>
    <numFmt numFmtId="166" formatCode="_(* #,##0_);_(* \(#,##0\);_(* &quot;-&quot;??_);_(@_)"/>
    <numFmt numFmtId="167" formatCode="[$-10C0A]#,##0.00;\-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5.95"/>
      <color indexed="4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5.95"/>
      <color rgb="FF2D77C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rgb="FF2D77C2"/>
      </left>
      <right style="thin">
        <color rgb="FF2D77C2"/>
      </right>
      <top style="thin">
        <color rgb="FF2D77C2"/>
      </top>
      <bottom style="thin">
        <color rgb="FF2D77C2"/>
      </bottom>
    </border>
    <border>
      <left style="thin">
        <color rgb="FF2D77C2"/>
      </left>
      <right/>
      <top style="thin">
        <color rgb="FF2D77C2"/>
      </top>
      <bottom style="thin">
        <color rgb="FF2D77C2"/>
      </bottom>
    </border>
    <border>
      <left/>
      <right/>
      <top/>
      <bottom style="thin">
        <color theme="4" tint="0.39998000860214233"/>
      </bottom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164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164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164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164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46" fillId="0" borderId="10" xfId="46" applyFont="1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6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164" fontId="5" fillId="33" borderId="10" xfId="54" applyNumberFormat="1" applyFont="1" applyFill="1" applyBorder="1" applyAlignment="1">
      <alignment/>
      <protection/>
    </xf>
    <xf numFmtId="164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164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6" fillId="0" borderId="12" xfId="46" applyBorder="1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5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6" fontId="0" fillId="0" borderId="0" xfId="48" applyNumberFormat="1" applyFont="1" applyAlignment="1">
      <alignment/>
    </xf>
    <xf numFmtId="0" fontId="47" fillId="0" borderId="16" xfId="0" applyFont="1" applyFill="1" applyBorder="1" applyAlignment="1" applyProtection="1">
      <alignment vertical="top" wrapText="1" readingOrder="1"/>
      <protection locked="0"/>
    </xf>
    <xf numFmtId="164" fontId="0" fillId="0" borderId="0" xfId="48" applyFont="1" applyAlignment="1">
      <alignment/>
    </xf>
    <xf numFmtId="0" fontId="47" fillId="0" borderId="17" xfId="0" applyFont="1" applyFill="1" applyBorder="1" applyAlignment="1" applyProtection="1">
      <alignment vertical="top" wrapText="1" readingOrder="1"/>
      <protection locked="0"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5" fillId="36" borderId="18" xfId="0" applyFont="1" applyFill="1" applyBorder="1" applyAlignment="1">
      <alignment/>
    </xf>
    <xf numFmtId="0" fontId="5" fillId="33" borderId="14" xfId="54" applyFont="1" applyFill="1" applyBorder="1" applyAlignment="1">
      <alignment horizontal="left" vertical="center"/>
      <protection/>
    </xf>
    <xf numFmtId="164" fontId="0" fillId="0" borderId="0" xfId="0" applyNumberFormat="1" applyAlignment="1">
      <alignment/>
    </xf>
    <xf numFmtId="0" fontId="2" fillId="37" borderId="0" xfId="57" applyFill="1" applyAlignment="1">
      <alignment horizontal="center"/>
      <protection/>
    </xf>
    <xf numFmtId="0" fontId="0" fillId="0" borderId="0" xfId="0" applyAlignment="1">
      <alignment horizontal="center"/>
    </xf>
    <xf numFmtId="1" fontId="2" fillId="0" borderId="10" xfId="57" applyNumberFormat="1" applyFont="1" applyBorder="1" applyAlignment="1">
      <alignment wrapText="1"/>
      <protection/>
    </xf>
    <xf numFmtId="3" fontId="12" fillId="0" borderId="19" xfId="0" applyNumberFormat="1" applyFont="1" applyBorder="1" applyAlignment="1">
      <alignment horizontal="right" wrapText="1"/>
    </xf>
    <xf numFmtId="164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5" fillId="33" borderId="22" xfId="54" applyFont="1" applyFill="1" applyBorder="1" applyAlignment="1">
      <alignment horizontal="center" vertical="center"/>
      <protection/>
    </xf>
    <xf numFmtId="0" fontId="5" fillId="33" borderId="23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9" sheet="Hoja1"/>
  </cacheSource>
  <cacheFields count="4">
    <cacheField name="NIT">
      <sharedItems containsSemiMixedTypes="0" containsString="0" containsMixedTypes="0" containsNumber="1" containsInteger="1" count="61">
        <n v="800118954"/>
        <n v="800124023"/>
        <n v="800144829"/>
        <n v="800163130"/>
        <n v="800225340"/>
        <n v="800247940"/>
        <n v="835000300"/>
        <n v="860512780"/>
        <n v="860525148"/>
        <n v="890000432"/>
        <n v="890102257"/>
        <n v="890201213"/>
        <n v="890399010"/>
        <n v="890480123"/>
        <n v="890500622"/>
        <n v="890501510"/>
        <n v="890680062"/>
        <n v="890700640"/>
        <n v="890700906"/>
        <n v="890801063"/>
        <n v="890802678"/>
        <n v="890980040"/>
        <n v="890980134"/>
        <n v="890980150"/>
        <n v="891080031"/>
        <n v="891180084"/>
        <n v="891190346"/>
        <n v="891380033"/>
        <n v="891480035"/>
        <n v="891500319"/>
        <n v="891500759"/>
        <n v="891680089"/>
        <n v="891701932"/>
        <n v="891780111"/>
        <n v="891800260"/>
        <n v="891800330"/>
        <n v="891900853"/>
        <n v="892000757"/>
        <n v="892115029"/>
        <n v="892200323"/>
        <n v="892300285"/>
        <n v="899999063"/>
        <n v="899999124"/>
        <n v="899999230"/>
        <n v="802011065"/>
        <n v="890480054"/>
        <n v="890980153"/>
        <n v="890980112"/>
        <n v="890501578"/>
        <n v="891902811"/>
        <n v="899999115"/>
        <n v="830037248"/>
        <n v="79154384"/>
        <n v="16583292"/>
        <n v="16241270"/>
        <n v="19156691"/>
        <n v="19099020"/>
        <n v="24320173"/>
        <n v="43500246"/>
        <n v="860019077"/>
        <n v="900440459"/>
      </sharedItems>
    </cacheField>
    <cacheField name="Entidad">
      <sharedItems containsMixedTypes="0"/>
    </cacheField>
    <cacheField name="Excel">
      <sharedItems containsMixedTypes="1" containsNumber="1" containsInteger="1"/>
    </cacheField>
    <cacheField name="SIIF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65" firstHeaderRow="0" firstDataRow="1" firstDataCol="1"/>
  <pivotFields count="4">
    <pivotField axis="axisRow" showAll="0">
      <items count="62">
        <item x="54"/>
        <item x="53"/>
        <item x="56"/>
        <item x="55"/>
        <item x="57"/>
        <item x="58"/>
        <item x="52"/>
        <item x="0"/>
        <item x="1"/>
        <item x="2"/>
        <item x="3"/>
        <item x="4"/>
        <item x="5"/>
        <item x="44"/>
        <item x="51"/>
        <item x="6"/>
        <item x="59"/>
        <item x="7"/>
        <item x="8"/>
        <item x="9"/>
        <item x="10"/>
        <item x="11"/>
        <item x="12"/>
        <item x="45"/>
        <item x="13"/>
        <item x="14"/>
        <item x="15"/>
        <item x="48"/>
        <item x="16"/>
        <item x="17"/>
        <item x="18"/>
        <item x="19"/>
        <item x="20"/>
        <item x="21"/>
        <item x="47"/>
        <item x="22"/>
        <item x="23"/>
        <item x="46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9"/>
        <item x="37"/>
        <item x="38"/>
        <item x="39"/>
        <item x="40"/>
        <item x="41"/>
        <item x="50"/>
        <item x="42"/>
        <item x="43"/>
        <item x="60"/>
        <item t="default"/>
      </items>
    </pivotField>
    <pivotField showAll="0"/>
    <pivotField dataField="1" showAll="0"/>
    <pivotField dataField="1"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Excel" fld="2" baseField="0" baseItem="0"/>
    <dataField name="Suma de SIIF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90" zoomScaleNormal="90" zoomScalePageLayoutView="0" workbookViewId="0" topLeftCell="A1">
      <pane xSplit="4" ySplit="3" topLeftCell="A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J3" sqref="AJ3"/>
    </sheetView>
  </sheetViews>
  <sheetFormatPr defaultColWidth="11.421875" defaultRowHeight="15"/>
  <cols>
    <col min="1" max="2" width="17.28125" style="20" customWidth="1"/>
    <col min="3" max="3" width="16.28125" style="20" customWidth="1"/>
    <col min="4" max="4" width="46.8515625" style="13" customWidth="1"/>
    <col min="5" max="5" width="35.57421875" style="20" customWidth="1"/>
    <col min="6" max="6" width="18.57421875" style="39" customWidth="1"/>
    <col min="7" max="7" width="19.57421875" style="20" customWidth="1"/>
    <col min="8" max="8" width="18.7109375" style="41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1.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16384" width="11.421875" style="20" customWidth="1"/>
  </cols>
  <sheetData>
    <row r="1" spans="1:12" s="5" customFormat="1" ht="30.75" customHeight="1">
      <c r="A1" s="1" t="s">
        <v>0</v>
      </c>
      <c r="B1" s="1"/>
      <c r="C1" s="1"/>
      <c r="D1" s="2"/>
      <c r="E1" s="1"/>
      <c r="F1" s="3"/>
      <c r="G1" s="1"/>
      <c r="H1" s="4"/>
      <c r="I1" s="1"/>
      <c r="J1" s="1"/>
      <c r="K1" s="1"/>
      <c r="L1" s="1"/>
    </row>
    <row r="2" spans="1:39" s="7" customFormat="1" ht="22.5" customHeight="1">
      <c r="A2" s="6"/>
      <c r="B2" s="6"/>
      <c r="C2" s="6"/>
      <c r="D2" s="6"/>
      <c r="E2" s="6"/>
      <c r="F2" s="86" t="s">
        <v>1</v>
      </c>
      <c r="G2" s="87"/>
      <c r="H2" s="87"/>
      <c r="I2" s="88"/>
      <c r="J2" s="84" t="s">
        <v>211</v>
      </c>
      <c r="K2" s="85"/>
      <c r="L2" s="85"/>
      <c r="M2" s="86" t="s">
        <v>180</v>
      </c>
      <c r="N2" s="87"/>
      <c r="O2" s="87"/>
      <c r="P2" s="84" t="s">
        <v>210</v>
      </c>
      <c r="Q2" s="85"/>
      <c r="R2" s="85"/>
      <c r="S2" s="86" t="s">
        <v>208</v>
      </c>
      <c r="T2" s="87"/>
      <c r="U2" s="87"/>
      <c r="V2" s="84" t="s">
        <v>209</v>
      </c>
      <c r="W2" s="85"/>
      <c r="X2" s="85"/>
      <c r="Y2" s="86" t="s">
        <v>212</v>
      </c>
      <c r="Z2" s="87"/>
      <c r="AA2" s="87"/>
      <c r="AB2" s="82" t="s">
        <v>213</v>
      </c>
      <c r="AC2" s="83"/>
      <c r="AD2" s="83"/>
      <c r="AE2" s="83"/>
      <c r="AF2" s="86" t="s">
        <v>216</v>
      </c>
      <c r="AG2" s="87"/>
      <c r="AH2" s="87"/>
      <c r="AI2" s="88"/>
      <c r="AJ2" s="82" t="s">
        <v>217</v>
      </c>
      <c r="AK2" s="83"/>
      <c r="AL2" s="83"/>
      <c r="AM2" s="83"/>
    </row>
    <row r="3" spans="1:39" s="13" customFormat="1" ht="48" customHeight="1">
      <c r="A3" s="8" t="s">
        <v>2</v>
      </c>
      <c r="B3" s="8"/>
      <c r="C3" s="8" t="s">
        <v>3</v>
      </c>
      <c r="D3" s="9" t="s">
        <v>4</v>
      </c>
      <c r="E3" s="8" t="s">
        <v>5</v>
      </c>
      <c r="F3" s="10" t="s">
        <v>100</v>
      </c>
      <c r="G3" s="11" t="s">
        <v>101</v>
      </c>
      <c r="H3" s="12" t="s">
        <v>102</v>
      </c>
      <c r="I3" s="11" t="s">
        <v>103</v>
      </c>
      <c r="J3" s="8" t="s">
        <v>100</v>
      </c>
      <c r="K3" s="8" t="s">
        <v>101</v>
      </c>
      <c r="L3" s="8" t="s">
        <v>102</v>
      </c>
      <c r="M3" s="10" t="s">
        <v>100</v>
      </c>
      <c r="N3" s="11" t="s">
        <v>101</v>
      </c>
      <c r="O3" s="12" t="s">
        <v>102</v>
      </c>
      <c r="P3" s="8" t="s">
        <v>100</v>
      </c>
      <c r="Q3" s="8" t="s">
        <v>101</v>
      </c>
      <c r="R3" s="8" t="s">
        <v>102</v>
      </c>
      <c r="S3" s="10" t="s">
        <v>100</v>
      </c>
      <c r="T3" s="11" t="s">
        <v>101</v>
      </c>
      <c r="U3" s="12" t="s">
        <v>102</v>
      </c>
      <c r="V3" s="8" t="s">
        <v>100</v>
      </c>
      <c r="W3" s="8" t="s">
        <v>101</v>
      </c>
      <c r="X3" s="8" t="s">
        <v>102</v>
      </c>
      <c r="Y3" s="10" t="s">
        <v>100</v>
      </c>
      <c r="Z3" s="11" t="s">
        <v>101</v>
      </c>
      <c r="AA3" s="12" t="s">
        <v>102</v>
      </c>
      <c r="AB3" s="8" t="s">
        <v>100</v>
      </c>
      <c r="AC3" s="8" t="s">
        <v>101</v>
      </c>
      <c r="AD3" s="8" t="s">
        <v>102</v>
      </c>
      <c r="AE3" s="8" t="s">
        <v>214</v>
      </c>
      <c r="AF3" s="10" t="s">
        <v>100</v>
      </c>
      <c r="AG3" s="11" t="s">
        <v>101</v>
      </c>
      <c r="AH3" s="12" t="s">
        <v>102</v>
      </c>
      <c r="AI3" s="12" t="s">
        <v>214</v>
      </c>
      <c r="AJ3" s="8" t="s">
        <v>100</v>
      </c>
      <c r="AK3" s="8" t="s">
        <v>101</v>
      </c>
      <c r="AL3" s="8" t="s">
        <v>102</v>
      </c>
      <c r="AM3" s="8" t="s">
        <v>214</v>
      </c>
    </row>
    <row r="4" spans="1:39" ht="12.75">
      <c r="A4" s="14">
        <v>8001189541</v>
      </c>
      <c r="B4" s="14">
        <v>800118954</v>
      </c>
      <c r="C4" s="14">
        <v>124552000</v>
      </c>
      <c r="D4" s="15" t="s">
        <v>6</v>
      </c>
      <c r="E4" s="16" t="s">
        <v>7</v>
      </c>
      <c r="F4" s="17">
        <v>0</v>
      </c>
      <c r="G4" s="17"/>
      <c r="H4" s="18">
        <v>3081333860.6</v>
      </c>
      <c r="I4" s="17"/>
      <c r="J4" s="19">
        <f>F4</f>
        <v>0</v>
      </c>
      <c r="K4" s="19">
        <f>G4</f>
        <v>0</v>
      </c>
      <c r="L4" s="19">
        <f>H4</f>
        <v>3081333860.6</v>
      </c>
      <c r="M4" s="17">
        <v>0</v>
      </c>
      <c r="N4" s="17"/>
      <c r="O4" s="18">
        <v>6162667720</v>
      </c>
      <c r="P4" s="19">
        <f>+J4+M4</f>
        <v>0</v>
      </c>
      <c r="Q4" s="19">
        <f>+K4+N4</f>
        <v>0</v>
      </c>
      <c r="R4" s="19">
        <f>+L4+O4</f>
        <v>9244001580.6</v>
      </c>
      <c r="S4" s="17">
        <v>0</v>
      </c>
      <c r="T4" s="17"/>
      <c r="U4" s="18">
        <v>3081333860</v>
      </c>
      <c r="V4" s="19">
        <f>+P4+S4</f>
        <v>0</v>
      </c>
      <c r="W4" s="19">
        <f>+Q4+T4</f>
        <v>0</v>
      </c>
      <c r="X4" s="19">
        <f>+R4+U4</f>
        <v>12325335440.6</v>
      </c>
      <c r="Y4" s="17">
        <v>0</v>
      </c>
      <c r="Z4" s="17">
        <v>0</v>
      </c>
      <c r="AA4" s="18">
        <v>3081333860</v>
      </c>
      <c r="AB4" s="19">
        <f>+V4+Y4</f>
        <v>0</v>
      </c>
      <c r="AC4" s="19">
        <f>+W4+Z4</f>
        <v>0</v>
      </c>
      <c r="AD4" s="19">
        <f>+X4+AA4</f>
        <v>15406669300.6</v>
      </c>
      <c r="AE4" s="75">
        <v>61626677</v>
      </c>
      <c r="AF4" s="17">
        <v>0</v>
      </c>
      <c r="AG4" s="17"/>
      <c r="AH4" s="18">
        <f>VLOOKUP(A4,Hoja3!$B$3:$E$35,4,0)</f>
        <v>3494850267</v>
      </c>
      <c r="AI4" s="18"/>
      <c r="AJ4" s="19">
        <f>+AB4+AF4</f>
        <v>0</v>
      </c>
      <c r="AK4" s="19">
        <f>+AC4+AG4</f>
        <v>0</v>
      </c>
      <c r="AL4" s="19">
        <f>+AD4+AH4</f>
        <v>18901519567.6</v>
      </c>
      <c r="AM4" s="19">
        <f>+AE4+AI4</f>
        <v>61626677</v>
      </c>
    </row>
    <row r="5" spans="1:39" ht="12.75">
      <c r="A5" s="14">
        <v>8001240234</v>
      </c>
      <c r="B5" s="14">
        <v>800124023</v>
      </c>
      <c r="C5" s="14">
        <v>824276000</v>
      </c>
      <c r="D5" s="15" t="s">
        <v>8</v>
      </c>
      <c r="E5" s="16" t="s">
        <v>110</v>
      </c>
      <c r="F5" s="17">
        <v>0</v>
      </c>
      <c r="G5" s="17"/>
      <c r="H5" s="18">
        <v>171714544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171714544</v>
      </c>
      <c r="M5" s="17">
        <v>0</v>
      </c>
      <c r="N5" s="17"/>
      <c r="O5" s="18">
        <v>171714544</v>
      </c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343429088</v>
      </c>
      <c r="S5" s="17">
        <v>0</v>
      </c>
      <c r="T5" s="17"/>
      <c r="U5" s="18">
        <v>171714544</v>
      </c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515143632</v>
      </c>
      <c r="Y5" s="17">
        <v>0</v>
      </c>
      <c r="Z5" s="17">
        <v>0</v>
      </c>
      <c r="AA5" s="18">
        <v>171714544</v>
      </c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686858176</v>
      </c>
      <c r="AE5" s="75">
        <v>3434291</v>
      </c>
      <c r="AF5" s="17">
        <v>0</v>
      </c>
      <c r="AG5" s="17"/>
      <c r="AH5" s="18">
        <f>VLOOKUP(A5,Hoja3!$B$37:$C$50,2,0)</f>
        <v>171714544</v>
      </c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858572720</v>
      </c>
      <c r="AM5" s="19">
        <f aca="true" t="shared" si="13" ref="AM5:AM54">+AE5+AI5</f>
        <v>3434291</v>
      </c>
    </row>
    <row r="6" spans="1:39" ht="12.75">
      <c r="A6" s="14">
        <v>8001448299</v>
      </c>
      <c r="B6" s="14">
        <v>800144829</v>
      </c>
      <c r="C6" s="14">
        <v>821400000</v>
      </c>
      <c r="D6" s="15" t="s">
        <v>9</v>
      </c>
      <c r="E6" s="22" t="s">
        <v>104</v>
      </c>
      <c r="F6" s="17">
        <v>0</v>
      </c>
      <c r="G6" s="17"/>
      <c r="H6" s="18">
        <v>999857319.6666666</v>
      </c>
      <c r="I6" s="17"/>
      <c r="J6" s="19">
        <f t="shared" si="0"/>
        <v>0</v>
      </c>
      <c r="K6" s="19">
        <f t="shared" si="0"/>
        <v>0</v>
      </c>
      <c r="L6" s="19">
        <f t="shared" si="0"/>
        <v>999857319.6666666</v>
      </c>
      <c r="M6" s="17">
        <v>0</v>
      </c>
      <c r="N6" s="17"/>
      <c r="O6" s="18">
        <v>1999714638</v>
      </c>
      <c r="P6" s="19">
        <f t="shared" si="1"/>
        <v>0</v>
      </c>
      <c r="Q6" s="19">
        <f t="shared" si="2"/>
        <v>0</v>
      </c>
      <c r="R6" s="19">
        <f t="shared" si="3"/>
        <v>2999571957.6666665</v>
      </c>
      <c r="S6" s="17">
        <v>0</v>
      </c>
      <c r="T6" s="17"/>
      <c r="U6" s="18">
        <v>999857319</v>
      </c>
      <c r="V6" s="19">
        <f t="shared" si="4"/>
        <v>0</v>
      </c>
      <c r="W6" s="19">
        <f t="shared" si="5"/>
        <v>0</v>
      </c>
      <c r="X6" s="19">
        <f t="shared" si="6"/>
        <v>3999429276.6666665</v>
      </c>
      <c r="Y6" s="17">
        <v>0</v>
      </c>
      <c r="Z6" s="17">
        <v>869690960</v>
      </c>
      <c r="AA6" s="18">
        <v>999857319</v>
      </c>
      <c r="AB6" s="19">
        <f t="shared" si="7"/>
        <v>0</v>
      </c>
      <c r="AC6" s="19">
        <f t="shared" si="8"/>
        <v>869690960</v>
      </c>
      <c r="AD6" s="19">
        <f t="shared" si="9"/>
        <v>4999286595.666666</v>
      </c>
      <c r="AE6" s="75">
        <v>19997146</v>
      </c>
      <c r="AF6" s="17">
        <v>0</v>
      </c>
      <c r="AG6" s="17"/>
      <c r="AH6" s="18">
        <f>VLOOKUP(A6,Hoja3!$B$3:$E$35,4,0)</f>
        <v>1285490275</v>
      </c>
      <c r="AI6" s="18"/>
      <c r="AJ6" s="19">
        <f t="shared" si="10"/>
        <v>0</v>
      </c>
      <c r="AK6" s="19">
        <f t="shared" si="11"/>
        <v>869690960</v>
      </c>
      <c r="AL6" s="19">
        <f t="shared" si="12"/>
        <v>6284776870.666666</v>
      </c>
      <c r="AM6" s="19">
        <f t="shared" si="13"/>
        <v>19997146</v>
      </c>
    </row>
    <row r="7" spans="1:39" ht="12.75">
      <c r="A7" s="21">
        <v>8001631300</v>
      </c>
      <c r="B7" s="14">
        <v>800163130</v>
      </c>
      <c r="C7" s="14">
        <v>129254000</v>
      </c>
      <c r="D7" s="15" t="s">
        <v>10</v>
      </c>
      <c r="E7" s="22" t="s">
        <v>11</v>
      </c>
      <c r="F7" s="17">
        <v>0</v>
      </c>
      <c r="G7" s="17"/>
      <c r="H7" s="18">
        <v>681006381.7333333</v>
      </c>
      <c r="I7" s="17"/>
      <c r="J7" s="19">
        <f t="shared" si="0"/>
        <v>0</v>
      </c>
      <c r="K7" s="19">
        <f t="shared" si="0"/>
        <v>0</v>
      </c>
      <c r="L7" s="19">
        <f t="shared" si="0"/>
        <v>681006381.7333333</v>
      </c>
      <c r="M7" s="17">
        <v>0</v>
      </c>
      <c r="N7" s="17"/>
      <c r="O7" s="18">
        <v>1362012762</v>
      </c>
      <c r="P7" s="19">
        <f t="shared" si="1"/>
        <v>0</v>
      </c>
      <c r="Q7" s="19">
        <f t="shared" si="2"/>
        <v>0</v>
      </c>
      <c r="R7" s="19">
        <f t="shared" si="3"/>
        <v>2043019143.7333333</v>
      </c>
      <c r="S7" s="17">
        <v>0</v>
      </c>
      <c r="T7" s="17"/>
      <c r="U7" s="18">
        <v>681006381</v>
      </c>
      <c r="V7" s="19">
        <f t="shared" si="4"/>
        <v>0</v>
      </c>
      <c r="W7" s="19">
        <f t="shared" si="5"/>
        <v>0</v>
      </c>
      <c r="X7" s="19">
        <f t="shared" si="6"/>
        <v>2724025524.7333336</v>
      </c>
      <c r="Y7" s="17">
        <v>0</v>
      </c>
      <c r="Z7" s="17">
        <v>0</v>
      </c>
      <c r="AA7" s="18">
        <v>681006381</v>
      </c>
      <c r="AB7" s="19">
        <f t="shared" si="7"/>
        <v>0</v>
      </c>
      <c r="AC7" s="19">
        <f t="shared" si="8"/>
        <v>0</v>
      </c>
      <c r="AD7" s="19">
        <f t="shared" si="9"/>
        <v>3405031905.7333336</v>
      </c>
      <c r="AE7" s="75">
        <v>17637873</v>
      </c>
      <c r="AF7" s="17">
        <v>0</v>
      </c>
      <c r="AG7" s="17"/>
      <c r="AH7" s="18">
        <f>VLOOKUP(A7,Hoja3!$B$3:$E$35,4,0)</f>
        <v>983677407</v>
      </c>
      <c r="AI7" s="18"/>
      <c r="AJ7" s="19">
        <f t="shared" si="10"/>
        <v>0</v>
      </c>
      <c r="AK7" s="19">
        <f t="shared" si="11"/>
        <v>0</v>
      </c>
      <c r="AL7" s="19">
        <f t="shared" si="12"/>
        <v>4388709312.733334</v>
      </c>
      <c r="AM7" s="19">
        <f t="shared" si="13"/>
        <v>17637873</v>
      </c>
    </row>
    <row r="8" spans="1:39" ht="15">
      <c r="A8" s="14">
        <v>8002253408</v>
      </c>
      <c r="B8" s="14">
        <v>800225340</v>
      </c>
      <c r="C8" s="14">
        <v>821700000</v>
      </c>
      <c r="D8" s="15" t="s">
        <v>12</v>
      </c>
      <c r="E8" s="23" t="s">
        <v>13</v>
      </c>
      <c r="F8" s="17">
        <v>0</v>
      </c>
      <c r="G8" s="17"/>
      <c r="H8" s="18">
        <v>594690059.4666667</v>
      </c>
      <c r="I8" s="17"/>
      <c r="J8" s="19">
        <f t="shared" si="0"/>
        <v>0</v>
      </c>
      <c r="K8" s="19">
        <f t="shared" si="0"/>
        <v>0</v>
      </c>
      <c r="L8" s="19">
        <f t="shared" si="0"/>
        <v>594690059.4666667</v>
      </c>
      <c r="M8" s="17">
        <v>0</v>
      </c>
      <c r="N8" s="17"/>
      <c r="O8" s="18">
        <v>1189380120</v>
      </c>
      <c r="P8" s="19">
        <f t="shared" si="1"/>
        <v>0</v>
      </c>
      <c r="Q8" s="19">
        <f t="shared" si="2"/>
        <v>0</v>
      </c>
      <c r="R8" s="19">
        <f t="shared" si="3"/>
        <v>1784070179.4666667</v>
      </c>
      <c r="S8" s="17">
        <v>0</v>
      </c>
      <c r="T8" s="17"/>
      <c r="U8" s="18">
        <v>594690060</v>
      </c>
      <c r="V8" s="19">
        <f t="shared" si="4"/>
        <v>0</v>
      </c>
      <c r="W8" s="19">
        <f t="shared" si="5"/>
        <v>0</v>
      </c>
      <c r="X8" s="19">
        <f t="shared" si="6"/>
        <v>2378760239.4666667</v>
      </c>
      <c r="Y8" s="17">
        <v>0</v>
      </c>
      <c r="Z8" s="17">
        <v>0</v>
      </c>
      <c r="AA8" s="18">
        <v>594690060</v>
      </c>
      <c r="AB8" s="19">
        <f t="shared" si="7"/>
        <v>0</v>
      </c>
      <c r="AC8" s="19">
        <f t="shared" si="8"/>
        <v>0</v>
      </c>
      <c r="AD8" s="19">
        <f t="shared" si="9"/>
        <v>2973450299.4666667</v>
      </c>
      <c r="AE8" s="75">
        <v>11893801</v>
      </c>
      <c r="AF8" s="17">
        <v>0</v>
      </c>
      <c r="AG8" s="17"/>
      <c r="AH8" s="18">
        <f>VLOOKUP(A8,Hoja3!$B$3:$E$35,4,0)</f>
        <v>956474376</v>
      </c>
      <c r="AI8" s="18"/>
      <c r="AJ8" s="19">
        <f t="shared" si="10"/>
        <v>0</v>
      </c>
      <c r="AK8" s="19">
        <f t="shared" si="11"/>
        <v>0</v>
      </c>
      <c r="AL8" s="19">
        <f t="shared" si="12"/>
        <v>3929924675.4666667</v>
      </c>
      <c r="AM8" s="19">
        <f t="shared" si="13"/>
        <v>11893801</v>
      </c>
    </row>
    <row r="9" spans="1:39" ht="12.75">
      <c r="A9" s="14">
        <v>8002479401</v>
      </c>
      <c r="B9" s="14">
        <v>800247940</v>
      </c>
      <c r="C9" s="14">
        <v>824086000</v>
      </c>
      <c r="D9" s="15" t="s">
        <v>14</v>
      </c>
      <c r="E9" s="16" t="s">
        <v>15</v>
      </c>
      <c r="F9" s="17">
        <v>0</v>
      </c>
      <c r="G9" s="17"/>
      <c r="H9" s="18">
        <v>122853105</v>
      </c>
      <c r="I9" s="17"/>
      <c r="J9" s="19">
        <f t="shared" si="0"/>
        <v>0</v>
      </c>
      <c r="K9" s="19">
        <f t="shared" si="0"/>
        <v>0</v>
      </c>
      <c r="L9" s="19">
        <f t="shared" si="0"/>
        <v>122853105</v>
      </c>
      <c r="M9" s="17">
        <v>0</v>
      </c>
      <c r="N9" s="17"/>
      <c r="O9" s="18">
        <v>122853105</v>
      </c>
      <c r="P9" s="19">
        <f t="shared" si="1"/>
        <v>0</v>
      </c>
      <c r="Q9" s="19">
        <f t="shared" si="2"/>
        <v>0</v>
      </c>
      <c r="R9" s="19">
        <f t="shared" si="3"/>
        <v>245706210</v>
      </c>
      <c r="S9" s="17">
        <v>0</v>
      </c>
      <c r="T9" s="17"/>
      <c r="U9" s="18">
        <v>122853105</v>
      </c>
      <c r="V9" s="19">
        <f t="shared" si="4"/>
        <v>0</v>
      </c>
      <c r="W9" s="19">
        <f t="shared" si="5"/>
        <v>0</v>
      </c>
      <c r="X9" s="19">
        <f t="shared" si="6"/>
        <v>368559315</v>
      </c>
      <c r="Y9" s="17">
        <v>0</v>
      </c>
      <c r="Z9" s="17">
        <v>0</v>
      </c>
      <c r="AA9" s="18">
        <v>122853105</v>
      </c>
      <c r="AB9" s="19">
        <f t="shared" si="7"/>
        <v>0</v>
      </c>
      <c r="AC9" s="19">
        <f t="shared" si="8"/>
        <v>0</v>
      </c>
      <c r="AD9" s="19">
        <f t="shared" si="9"/>
        <v>491412420</v>
      </c>
      <c r="AE9" s="75">
        <v>2457062</v>
      </c>
      <c r="AF9" s="17">
        <v>0</v>
      </c>
      <c r="AG9" s="17"/>
      <c r="AH9" s="18">
        <f>VLOOKUP(A9,Hoja3!$B$37:$C$50,2,0)</f>
        <v>122853105</v>
      </c>
      <c r="AI9" s="18"/>
      <c r="AJ9" s="19">
        <f t="shared" si="10"/>
        <v>0</v>
      </c>
      <c r="AK9" s="19">
        <f t="shared" si="11"/>
        <v>0</v>
      </c>
      <c r="AL9" s="19">
        <f t="shared" si="12"/>
        <v>614265525</v>
      </c>
      <c r="AM9" s="19">
        <f t="shared" si="13"/>
        <v>2457062</v>
      </c>
    </row>
    <row r="10" spans="1:39" ht="12.75">
      <c r="A10" s="14"/>
      <c r="B10" s="14">
        <v>800248004</v>
      </c>
      <c r="C10" s="14"/>
      <c r="D10" s="15" t="s">
        <v>215</v>
      </c>
      <c r="E10" s="16"/>
      <c r="F10" s="17"/>
      <c r="G10" s="17"/>
      <c r="H10" s="18"/>
      <c r="I10" s="17"/>
      <c r="J10" s="19"/>
      <c r="K10" s="19"/>
      <c r="L10" s="19">
        <f t="shared" si="0"/>
        <v>0</v>
      </c>
      <c r="M10" s="17"/>
      <c r="N10" s="17"/>
      <c r="O10" s="18"/>
      <c r="P10" s="19"/>
      <c r="Q10" s="19"/>
      <c r="R10" s="19">
        <f t="shared" si="3"/>
        <v>0</v>
      </c>
      <c r="S10" s="17"/>
      <c r="T10" s="17"/>
      <c r="U10" s="18"/>
      <c r="V10" s="19"/>
      <c r="W10" s="19"/>
      <c r="X10" s="19">
        <f t="shared" si="6"/>
        <v>0</v>
      </c>
      <c r="Y10" s="17"/>
      <c r="Z10" s="17"/>
      <c r="AA10" s="18"/>
      <c r="AB10" s="19"/>
      <c r="AC10" s="19"/>
      <c r="AD10" s="19"/>
      <c r="AE10" s="75">
        <v>13191587.74</v>
      </c>
      <c r="AF10" s="17">
        <v>0</v>
      </c>
      <c r="AG10" s="17"/>
      <c r="AH10" s="18">
        <v>0</v>
      </c>
      <c r="AI10" s="18">
        <v>5739835.76</v>
      </c>
      <c r="AJ10" s="19">
        <f t="shared" si="10"/>
        <v>0</v>
      </c>
      <c r="AK10" s="19">
        <f t="shared" si="11"/>
        <v>0</v>
      </c>
      <c r="AL10" s="19">
        <f t="shared" si="12"/>
        <v>0</v>
      </c>
      <c r="AM10" s="19">
        <f t="shared" si="13"/>
        <v>18931423.5</v>
      </c>
    </row>
    <row r="11" spans="1:39" ht="12.75">
      <c r="A11" s="14">
        <v>8350003004</v>
      </c>
      <c r="B11" s="14">
        <v>835000300</v>
      </c>
      <c r="C11" s="14">
        <v>826076000</v>
      </c>
      <c r="D11" s="15" t="s">
        <v>16</v>
      </c>
      <c r="E11" s="16" t="s">
        <v>17</v>
      </c>
      <c r="F11" s="17">
        <v>0</v>
      </c>
      <c r="G11" s="17"/>
      <c r="H11" s="18">
        <v>665664483</v>
      </c>
      <c r="I11" s="17"/>
      <c r="J11" s="19">
        <f t="shared" si="0"/>
        <v>0</v>
      </c>
      <c r="K11" s="19">
        <f t="shared" si="0"/>
        <v>0</v>
      </c>
      <c r="L11" s="19">
        <f t="shared" si="0"/>
        <v>665664483</v>
      </c>
      <c r="M11" s="17">
        <v>0</v>
      </c>
      <c r="N11" s="17"/>
      <c r="O11" s="18">
        <v>1331328966</v>
      </c>
      <c r="P11" s="19">
        <f t="shared" si="1"/>
        <v>0</v>
      </c>
      <c r="Q11" s="19">
        <f t="shared" si="2"/>
        <v>0</v>
      </c>
      <c r="R11" s="19">
        <f t="shared" si="3"/>
        <v>1996993449</v>
      </c>
      <c r="S11" s="17">
        <v>0</v>
      </c>
      <c r="T11" s="17"/>
      <c r="U11" s="18">
        <v>665664483</v>
      </c>
      <c r="V11" s="19">
        <f t="shared" si="4"/>
        <v>0</v>
      </c>
      <c r="W11" s="19">
        <f t="shared" si="5"/>
        <v>0</v>
      </c>
      <c r="X11" s="19">
        <f t="shared" si="6"/>
        <v>2662657932</v>
      </c>
      <c r="Y11" s="17">
        <v>0</v>
      </c>
      <c r="Z11" s="17">
        <v>374435851</v>
      </c>
      <c r="AA11" s="18">
        <v>665664483</v>
      </c>
      <c r="AB11" s="19">
        <f t="shared" si="7"/>
        <v>0</v>
      </c>
      <c r="AC11" s="19">
        <f t="shared" si="8"/>
        <v>374435851</v>
      </c>
      <c r="AD11" s="19">
        <f t="shared" si="9"/>
        <v>3328322415</v>
      </c>
      <c r="AE11" s="75">
        <v>17828447</v>
      </c>
      <c r="AF11" s="17">
        <v>0</v>
      </c>
      <c r="AG11" s="17"/>
      <c r="AH11" s="18">
        <f>VLOOKUP(A11,Hoja3!$B$3:$E$35,4,0)</f>
        <v>1005807274</v>
      </c>
      <c r="AI11" s="18"/>
      <c r="AJ11" s="19">
        <f t="shared" si="10"/>
        <v>0</v>
      </c>
      <c r="AK11" s="19">
        <f t="shared" si="11"/>
        <v>374435851</v>
      </c>
      <c r="AL11" s="19">
        <f t="shared" si="12"/>
        <v>4334129689</v>
      </c>
      <c r="AM11" s="19">
        <f t="shared" si="13"/>
        <v>17828447</v>
      </c>
    </row>
    <row r="12" spans="1:39" ht="12.75">
      <c r="A12" s="14">
        <v>8605127804</v>
      </c>
      <c r="B12" s="14">
        <v>860512780</v>
      </c>
      <c r="C12" s="14">
        <v>822000000</v>
      </c>
      <c r="D12" s="15" t="s">
        <v>18</v>
      </c>
      <c r="E12" s="16" t="s">
        <v>19</v>
      </c>
      <c r="F12" s="17">
        <v>0</v>
      </c>
      <c r="G12" s="17"/>
      <c r="H12" s="18">
        <v>2057708955.6666665</v>
      </c>
      <c r="I12" s="17"/>
      <c r="J12" s="19">
        <f t="shared" si="0"/>
        <v>0</v>
      </c>
      <c r="K12" s="19">
        <f t="shared" si="0"/>
        <v>0</v>
      </c>
      <c r="L12" s="19">
        <f t="shared" si="0"/>
        <v>2057708955.6666665</v>
      </c>
      <c r="M12" s="17">
        <v>0</v>
      </c>
      <c r="N12" s="17"/>
      <c r="O12" s="18">
        <v>4115417912</v>
      </c>
      <c r="P12" s="19">
        <f t="shared" si="1"/>
        <v>0</v>
      </c>
      <c r="Q12" s="19">
        <f t="shared" si="2"/>
        <v>0</v>
      </c>
      <c r="R12" s="19">
        <f t="shared" si="3"/>
        <v>6173126867.666666</v>
      </c>
      <c r="S12" s="17">
        <v>0</v>
      </c>
      <c r="T12" s="17"/>
      <c r="U12" s="18">
        <v>2057708956</v>
      </c>
      <c r="V12" s="19">
        <f t="shared" si="4"/>
        <v>0</v>
      </c>
      <c r="W12" s="19">
        <f t="shared" si="5"/>
        <v>0</v>
      </c>
      <c r="X12" s="19">
        <f t="shared" si="6"/>
        <v>8230835823.666666</v>
      </c>
      <c r="Y12" s="17">
        <v>0</v>
      </c>
      <c r="Z12" s="17">
        <v>1358728784</v>
      </c>
      <c r="AA12" s="18">
        <v>2057708956</v>
      </c>
      <c r="AB12" s="19">
        <f t="shared" si="7"/>
        <v>0</v>
      </c>
      <c r="AC12" s="19">
        <f t="shared" si="8"/>
        <v>1358728784</v>
      </c>
      <c r="AD12" s="19">
        <f t="shared" si="9"/>
        <v>10288544779.666666</v>
      </c>
      <c r="AE12" s="75">
        <v>41154179</v>
      </c>
      <c r="AF12" s="17">
        <v>0</v>
      </c>
      <c r="AG12" s="17"/>
      <c r="AH12" s="18">
        <f>VLOOKUP(A12,Hoja3!$B$3:$E$35,4,0)</f>
        <v>2299440681</v>
      </c>
      <c r="AI12" s="18"/>
      <c r="AJ12" s="19">
        <f t="shared" si="10"/>
        <v>0</v>
      </c>
      <c r="AK12" s="19">
        <f t="shared" si="11"/>
        <v>1358728784</v>
      </c>
      <c r="AL12" s="19">
        <f t="shared" si="12"/>
        <v>12587985460.666666</v>
      </c>
      <c r="AM12" s="19">
        <f t="shared" si="13"/>
        <v>41154179</v>
      </c>
    </row>
    <row r="13" spans="1:39" ht="12.75">
      <c r="A13" s="14">
        <v>8605251485</v>
      </c>
      <c r="B13" s="14">
        <v>860525148</v>
      </c>
      <c r="C13" s="14">
        <v>44600000</v>
      </c>
      <c r="D13" s="15" t="s">
        <v>20</v>
      </c>
      <c r="E13" s="16" t="s">
        <v>21</v>
      </c>
      <c r="F13" s="17">
        <v>0</v>
      </c>
      <c r="G13" s="17"/>
      <c r="H13" s="18">
        <v>0</v>
      </c>
      <c r="I13" s="17"/>
      <c r="J13" s="19">
        <f t="shared" si="0"/>
        <v>0</v>
      </c>
      <c r="K13" s="19">
        <f t="shared" si="0"/>
        <v>0</v>
      </c>
      <c r="L13" s="19">
        <f t="shared" si="0"/>
        <v>0</v>
      </c>
      <c r="M13" s="17">
        <v>0</v>
      </c>
      <c r="N13" s="17"/>
      <c r="O13" s="18"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  <c r="S13" s="17">
        <v>0</v>
      </c>
      <c r="T13" s="17"/>
      <c r="U13" s="18">
        <v>0</v>
      </c>
      <c r="V13" s="19">
        <f t="shared" si="4"/>
        <v>0</v>
      </c>
      <c r="W13" s="19">
        <f t="shared" si="5"/>
        <v>0</v>
      </c>
      <c r="X13" s="19">
        <f t="shared" si="6"/>
        <v>0</v>
      </c>
      <c r="Y13" s="17">
        <v>0</v>
      </c>
      <c r="Z13" s="17">
        <v>0</v>
      </c>
      <c r="AA13" s="18">
        <v>0</v>
      </c>
      <c r="AB13" s="19">
        <f t="shared" si="7"/>
        <v>0</v>
      </c>
      <c r="AC13" s="19">
        <f t="shared" si="8"/>
        <v>0</v>
      </c>
      <c r="AD13" s="19">
        <f t="shared" si="9"/>
        <v>0</v>
      </c>
      <c r="AE13" s="75">
        <v>0</v>
      </c>
      <c r="AF13" s="17">
        <v>0</v>
      </c>
      <c r="AG13" s="17"/>
      <c r="AH13" s="18">
        <v>0</v>
      </c>
      <c r="AI13" s="18"/>
      <c r="AJ13" s="19">
        <f t="shared" si="10"/>
        <v>0</v>
      </c>
      <c r="AK13" s="19">
        <f t="shared" si="11"/>
        <v>0</v>
      </c>
      <c r="AL13" s="19">
        <f t="shared" si="12"/>
        <v>0</v>
      </c>
      <c r="AM13" s="19">
        <f t="shared" si="13"/>
        <v>0</v>
      </c>
    </row>
    <row r="14" spans="1:39" ht="12.75">
      <c r="A14" s="14">
        <v>8900004328</v>
      </c>
      <c r="B14" s="14">
        <v>890000432</v>
      </c>
      <c r="C14" s="14">
        <v>126663000</v>
      </c>
      <c r="D14" s="15" t="s">
        <v>22</v>
      </c>
      <c r="E14" s="16" t="s">
        <v>23</v>
      </c>
      <c r="F14" s="17">
        <v>0</v>
      </c>
      <c r="G14" s="17"/>
      <c r="H14" s="18">
        <v>2606980881.666667</v>
      </c>
      <c r="I14" s="17"/>
      <c r="J14" s="19">
        <f t="shared" si="0"/>
        <v>0</v>
      </c>
      <c r="K14" s="19">
        <f t="shared" si="0"/>
        <v>0</v>
      </c>
      <c r="L14" s="19">
        <f t="shared" si="0"/>
        <v>2606980881.666667</v>
      </c>
      <c r="M14" s="17">
        <v>0</v>
      </c>
      <c r="N14" s="17"/>
      <c r="O14" s="18">
        <v>5213961762</v>
      </c>
      <c r="P14" s="19">
        <f t="shared" si="1"/>
        <v>0</v>
      </c>
      <c r="Q14" s="19">
        <f t="shared" si="2"/>
        <v>0</v>
      </c>
      <c r="R14" s="19">
        <f t="shared" si="3"/>
        <v>7820942643.666667</v>
      </c>
      <c r="S14" s="17">
        <v>0</v>
      </c>
      <c r="T14" s="17"/>
      <c r="U14" s="18">
        <v>2606980881</v>
      </c>
      <c r="V14" s="19">
        <f t="shared" si="4"/>
        <v>0</v>
      </c>
      <c r="W14" s="19">
        <f t="shared" si="5"/>
        <v>0</v>
      </c>
      <c r="X14" s="19">
        <f t="shared" si="6"/>
        <v>10427923524.666668</v>
      </c>
      <c r="Y14" s="17">
        <v>0</v>
      </c>
      <c r="Z14" s="17">
        <v>0</v>
      </c>
      <c r="AA14" s="18">
        <v>2606980881</v>
      </c>
      <c r="AB14" s="19">
        <f t="shared" si="7"/>
        <v>0</v>
      </c>
      <c r="AC14" s="19">
        <f t="shared" si="8"/>
        <v>0</v>
      </c>
      <c r="AD14" s="19">
        <f t="shared" si="9"/>
        <v>13034904405.666668</v>
      </c>
      <c r="AE14" s="75">
        <v>56401527</v>
      </c>
      <c r="AF14" s="17">
        <v>0</v>
      </c>
      <c r="AG14" s="17"/>
      <c r="AH14" s="18">
        <f>VLOOKUP(A14,Hoja3!$B$3:$E$35,4,0)</f>
        <v>2928045606</v>
      </c>
      <c r="AI14" s="18"/>
      <c r="AJ14" s="19">
        <f t="shared" si="10"/>
        <v>0</v>
      </c>
      <c r="AK14" s="19">
        <f t="shared" si="11"/>
        <v>0</v>
      </c>
      <c r="AL14" s="19">
        <f t="shared" si="12"/>
        <v>15962950011.666668</v>
      </c>
      <c r="AM14" s="19">
        <f t="shared" si="13"/>
        <v>56401527</v>
      </c>
    </row>
    <row r="15" spans="1:39" ht="12.75">
      <c r="A15" s="14">
        <v>8901022573</v>
      </c>
      <c r="B15" s="14">
        <v>890102257</v>
      </c>
      <c r="C15" s="14">
        <v>121708000</v>
      </c>
      <c r="D15" s="15" t="s">
        <v>24</v>
      </c>
      <c r="E15" s="16" t="s">
        <v>25</v>
      </c>
      <c r="F15" s="17">
        <v>0</v>
      </c>
      <c r="G15" s="17"/>
      <c r="H15" s="18">
        <v>5714972758.666666</v>
      </c>
      <c r="I15" s="17"/>
      <c r="J15" s="19">
        <f t="shared" si="0"/>
        <v>0</v>
      </c>
      <c r="K15" s="19">
        <f t="shared" si="0"/>
        <v>0</v>
      </c>
      <c r="L15" s="19">
        <f t="shared" si="0"/>
        <v>5714972758.666666</v>
      </c>
      <c r="M15" s="17">
        <v>0</v>
      </c>
      <c r="N15" s="17"/>
      <c r="O15" s="18">
        <v>11429945516</v>
      </c>
      <c r="P15" s="19">
        <f t="shared" si="1"/>
        <v>0</v>
      </c>
      <c r="Q15" s="19">
        <f t="shared" si="2"/>
        <v>0</v>
      </c>
      <c r="R15" s="19">
        <f t="shared" si="3"/>
        <v>17144918274.666666</v>
      </c>
      <c r="S15" s="17">
        <v>0</v>
      </c>
      <c r="T15" s="17"/>
      <c r="U15" s="18">
        <v>5714972758</v>
      </c>
      <c r="V15" s="19">
        <f t="shared" si="4"/>
        <v>0</v>
      </c>
      <c r="W15" s="19">
        <f t="shared" si="5"/>
        <v>0</v>
      </c>
      <c r="X15" s="19">
        <f t="shared" si="6"/>
        <v>22859891032.666664</v>
      </c>
      <c r="Y15" s="17">
        <v>0</v>
      </c>
      <c r="Z15" s="17">
        <v>0</v>
      </c>
      <c r="AA15" s="18">
        <v>5714972758</v>
      </c>
      <c r="AB15" s="19">
        <f t="shared" si="7"/>
        <v>0</v>
      </c>
      <c r="AC15" s="19">
        <f t="shared" si="8"/>
        <v>0</v>
      </c>
      <c r="AD15" s="19">
        <f t="shared" si="9"/>
        <v>28574863790.666664</v>
      </c>
      <c r="AE15" s="75">
        <v>114299455</v>
      </c>
      <c r="AF15" s="17">
        <v>0</v>
      </c>
      <c r="AG15" s="17"/>
      <c r="AH15" s="18">
        <f>VLOOKUP(A15,Hoja3!$B$3:$E$35,4,0)</f>
        <v>6011476558</v>
      </c>
      <c r="AI15" s="18"/>
      <c r="AJ15" s="19">
        <f t="shared" si="10"/>
        <v>0</v>
      </c>
      <c r="AK15" s="19">
        <f t="shared" si="11"/>
        <v>0</v>
      </c>
      <c r="AL15" s="19">
        <f t="shared" si="12"/>
        <v>34586340348.666664</v>
      </c>
      <c r="AM15" s="19">
        <f t="shared" si="13"/>
        <v>114299455</v>
      </c>
    </row>
    <row r="16" spans="1:39" ht="12.75">
      <c r="A16" s="14">
        <v>8902012134</v>
      </c>
      <c r="B16" s="14">
        <v>890201213</v>
      </c>
      <c r="C16" s="14">
        <v>128868000</v>
      </c>
      <c r="D16" s="15" t="s">
        <v>26</v>
      </c>
      <c r="E16" s="16" t="s">
        <v>27</v>
      </c>
      <c r="F16" s="17">
        <v>0</v>
      </c>
      <c r="G16" s="17"/>
      <c r="H16" s="18">
        <v>5978073925.933333</v>
      </c>
      <c r="I16" s="17"/>
      <c r="J16" s="19">
        <f t="shared" si="0"/>
        <v>0</v>
      </c>
      <c r="K16" s="19">
        <f t="shared" si="0"/>
        <v>0</v>
      </c>
      <c r="L16" s="19">
        <f t="shared" si="0"/>
        <v>5978073925.933333</v>
      </c>
      <c r="M16" s="17">
        <v>0</v>
      </c>
      <c r="N16" s="17"/>
      <c r="O16" s="18">
        <v>11956147852</v>
      </c>
      <c r="P16" s="19">
        <f t="shared" si="1"/>
        <v>0</v>
      </c>
      <c r="Q16" s="19">
        <f t="shared" si="2"/>
        <v>0</v>
      </c>
      <c r="R16" s="19">
        <f t="shared" si="3"/>
        <v>17934221777.933334</v>
      </c>
      <c r="S16" s="17">
        <v>0</v>
      </c>
      <c r="T16" s="17"/>
      <c r="U16" s="18">
        <v>5978073926</v>
      </c>
      <c r="V16" s="19">
        <f t="shared" si="4"/>
        <v>0</v>
      </c>
      <c r="W16" s="19">
        <f t="shared" si="5"/>
        <v>0</v>
      </c>
      <c r="X16" s="19">
        <f t="shared" si="6"/>
        <v>23912295703.933334</v>
      </c>
      <c r="Y16" s="17">
        <v>0</v>
      </c>
      <c r="Z16" s="17">
        <v>0</v>
      </c>
      <c r="AA16" s="18">
        <v>5978073926</v>
      </c>
      <c r="AB16" s="19">
        <f t="shared" si="7"/>
        <v>0</v>
      </c>
      <c r="AC16" s="19">
        <f t="shared" si="8"/>
        <v>0</v>
      </c>
      <c r="AD16" s="19">
        <f t="shared" si="9"/>
        <v>29890369629.933334</v>
      </c>
      <c r="AE16" s="75">
        <v>119561479</v>
      </c>
      <c r="AF16" s="17">
        <v>0</v>
      </c>
      <c r="AG16" s="17"/>
      <c r="AH16" s="18">
        <f>VLOOKUP(A16,Hoja3!$B$3:$E$35,4,0)</f>
        <v>6346692211</v>
      </c>
      <c r="AI16" s="18"/>
      <c r="AJ16" s="19">
        <f t="shared" si="10"/>
        <v>0</v>
      </c>
      <c r="AK16" s="19">
        <f t="shared" si="11"/>
        <v>0</v>
      </c>
      <c r="AL16" s="19">
        <f t="shared" si="12"/>
        <v>36237061840.933334</v>
      </c>
      <c r="AM16" s="19">
        <f t="shared" si="13"/>
        <v>119561479</v>
      </c>
    </row>
    <row r="17" spans="1:39" ht="12.75">
      <c r="A17" s="14">
        <v>8903990106</v>
      </c>
      <c r="B17" s="14">
        <v>890399010</v>
      </c>
      <c r="C17" s="14">
        <v>120676000</v>
      </c>
      <c r="D17" s="15" t="s">
        <v>28</v>
      </c>
      <c r="E17" s="22" t="s">
        <v>29</v>
      </c>
      <c r="F17" s="17">
        <v>0</v>
      </c>
      <c r="G17" s="17"/>
      <c r="H17" s="18">
        <v>11282915242.266666</v>
      </c>
      <c r="I17" s="17"/>
      <c r="J17" s="19">
        <f t="shared" si="0"/>
        <v>0</v>
      </c>
      <c r="K17" s="19">
        <f t="shared" si="0"/>
        <v>0</v>
      </c>
      <c r="L17" s="19">
        <f t="shared" si="0"/>
        <v>11282915242.266666</v>
      </c>
      <c r="M17" s="17">
        <v>0</v>
      </c>
      <c r="N17" s="17"/>
      <c r="O17" s="18">
        <v>22565830484</v>
      </c>
      <c r="P17" s="19">
        <f t="shared" si="1"/>
        <v>0</v>
      </c>
      <c r="Q17" s="19">
        <f t="shared" si="2"/>
        <v>0</v>
      </c>
      <c r="R17" s="19">
        <f t="shared" si="3"/>
        <v>33848745726.266666</v>
      </c>
      <c r="S17" s="17">
        <v>0</v>
      </c>
      <c r="T17" s="17"/>
      <c r="U17" s="18">
        <v>11282915242</v>
      </c>
      <c r="V17" s="19">
        <f t="shared" si="4"/>
        <v>0</v>
      </c>
      <c r="W17" s="19">
        <f t="shared" si="5"/>
        <v>0</v>
      </c>
      <c r="X17" s="19">
        <f t="shared" si="6"/>
        <v>45131660968.26666</v>
      </c>
      <c r="Y17" s="17">
        <v>0</v>
      </c>
      <c r="Z17" s="17">
        <v>0</v>
      </c>
      <c r="AA17" s="18">
        <v>11282915242</v>
      </c>
      <c r="AB17" s="19">
        <f t="shared" si="7"/>
        <v>0</v>
      </c>
      <c r="AC17" s="19">
        <f t="shared" si="8"/>
        <v>0</v>
      </c>
      <c r="AD17" s="19">
        <f t="shared" si="9"/>
        <v>56414576210.26666</v>
      </c>
      <c r="AE17" s="75">
        <v>225658305</v>
      </c>
      <c r="AF17" s="17">
        <v>0</v>
      </c>
      <c r="AG17" s="17"/>
      <c r="AH17" s="18">
        <f>VLOOKUP(A17,Hoja3!$B$3:$E$35,4,0)</f>
        <v>11659565604</v>
      </c>
      <c r="AI17" s="18"/>
      <c r="AJ17" s="19">
        <f t="shared" si="10"/>
        <v>0</v>
      </c>
      <c r="AK17" s="19">
        <f t="shared" si="11"/>
        <v>0</v>
      </c>
      <c r="AL17" s="19">
        <f t="shared" si="12"/>
        <v>68074141814.26666</v>
      </c>
      <c r="AM17" s="19">
        <f t="shared" si="13"/>
        <v>225658305</v>
      </c>
    </row>
    <row r="18" spans="1:39" ht="12.75">
      <c r="A18" s="14">
        <v>8904801235</v>
      </c>
      <c r="B18" s="14">
        <v>890480123</v>
      </c>
      <c r="C18" s="14">
        <v>122613000</v>
      </c>
      <c r="D18" s="15" t="s">
        <v>30</v>
      </c>
      <c r="E18" s="16" t="s">
        <v>31</v>
      </c>
      <c r="F18" s="17">
        <v>0</v>
      </c>
      <c r="G18" s="17"/>
      <c r="H18" s="18">
        <v>3975869910.666667</v>
      </c>
      <c r="I18" s="17"/>
      <c r="J18" s="19">
        <f t="shared" si="0"/>
        <v>0</v>
      </c>
      <c r="K18" s="19">
        <f t="shared" si="0"/>
        <v>0</v>
      </c>
      <c r="L18" s="19">
        <f t="shared" si="0"/>
        <v>3975869910.666667</v>
      </c>
      <c r="M18" s="17">
        <v>0</v>
      </c>
      <c r="N18" s="17"/>
      <c r="O18" s="18">
        <v>7951739822</v>
      </c>
      <c r="P18" s="19">
        <f t="shared" si="1"/>
        <v>0</v>
      </c>
      <c r="Q18" s="19">
        <f t="shared" si="2"/>
        <v>0</v>
      </c>
      <c r="R18" s="19">
        <f t="shared" si="3"/>
        <v>11927609732.666668</v>
      </c>
      <c r="S18" s="17">
        <v>0</v>
      </c>
      <c r="T18" s="17"/>
      <c r="U18" s="18">
        <v>3975869911</v>
      </c>
      <c r="V18" s="19">
        <f t="shared" si="4"/>
        <v>0</v>
      </c>
      <c r="W18" s="19">
        <f t="shared" si="5"/>
        <v>0</v>
      </c>
      <c r="X18" s="19">
        <f t="shared" si="6"/>
        <v>15903479643.666668</v>
      </c>
      <c r="Y18" s="17">
        <v>0</v>
      </c>
      <c r="Z18" s="17">
        <v>0</v>
      </c>
      <c r="AA18" s="18">
        <v>3975869911</v>
      </c>
      <c r="AB18" s="19">
        <f t="shared" si="7"/>
        <v>0</v>
      </c>
      <c r="AC18" s="19">
        <f t="shared" si="8"/>
        <v>0</v>
      </c>
      <c r="AD18" s="19">
        <f t="shared" si="9"/>
        <v>19879349554.666668</v>
      </c>
      <c r="AE18" s="75">
        <v>79517398</v>
      </c>
      <c r="AF18" s="17">
        <v>0</v>
      </c>
      <c r="AG18" s="17"/>
      <c r="AH18" s="18">
        <f>VLOOKUP(A18,Hoja3!$B$3:$E$35,4,0)</f>
        <v>4374479055</v>
      </c>
      <c r="AI18" s="18"/>
      <c r="AJ18" s="19">
        <f t="shared" si="10"/>
        <v>0</v>
      </c>
      <c r="AK18" s="19">
        <f t="shared" si="11"/>
        <v>0</v>
      </c>
      <c r="AL18" s="19">
        <f t="shared" si="12"/>
        <v>24253828609.666668</v>
      </c>
      <c r="AM18" s="19">
        <f t="shared" si="13"/>
        <v>79517398</v>
      </c>
    </row>
    <row r="19" spans="1:39" ht="12.75">
      <c r="A19" s="14">
        <v>8905006226</v>
      </c>
      <c r="B19" s="14">
        <v>890500622</v>
      </c>
      <c r="C19" s="14">
        <v>125354000</v>
      </c>
      <c r="D19" s="15" t="s">
        <v>32</v>
      </c>
      <c r="E19" s="16" t="s">
        <v>33</v>
      </c>
      <c r="F19" s="17">
        <v>0</v>
      </c>
      <c r="G19" s="17"/>
      <c r="H19" s="18">
        <v>1707885039.6666665</v>
      </c>
      <c r="I19" s="17"/>
      <c r="J19" s="19">
        <f t="shared" si="0"/>
        <v>0</v>
      </c>
      <c r="K19" s="19">
        <f t="shared" si="0"/>
        <v>0</v>
      </c>
      <c r="L19" s="19">
        <f t="shared" si="0"/>
        <v>1707885039.6666665</v>
      </c>
      <c r="M19" s="17">
        <v>0</v>
      </c>
      <c r="N19" s="17"/>
      <c r="O19" s="18">
        <v>3415770078</v>
      </c>
      <c r="P19" s="19">
        <f t="shared" si="1"/>
        <v>0</v>
      </c>
      <c r="Q19" s="19">
        <f t="shared" si="2"/>
        <v>0</v>
      </c>
      <c r="R19" s="19">
        <f t="shared" si="3"/>
        <v>5123655117.666666</v>
      </c>
      <c r="S19" s="17">
        <v>0</v>
      </c>
      <c r="T19" s="17"/>
      <c r="U19" s="18">
        <v>1707885039</v>
      </c>
      <c r="V19" s="19">
        <f t="shared" si="4"/>
        <v>0</v>
      </c>
      <c r="W19" s="19">
        <f t="shared" si="5"/>
        <v>0</v>
      </c>
      <c r="X19" s="19">
        <f t="shared" si="6"/>
        <v>6831540156.666666</v>
      </c>
      <c r="Y19" s="17">
        <v>0</v>
      </c>
      <c r="Z19" s="17">
        <v>0</v>
      </c>
      <c r="AA19" s="18">
        <v>1707885039</v>
      </c>
      <c r="AB19" s="19">
        <f t="shared" si="7"/>
        <v>0</v>
      </c>
      <c r="AC19" s="19">
        <f t="shared" si="8"/>
        <v>0</v>
      </c>
      <c r="AD19" s="19">
        <f t="shared" si="9"/>
        <v>8539425195.666666</v>
      </c>
      <c r="AE19" s="75">
        <v>34157701</v>
      </c>
      <c r="AF19" s="17">
        <v>0</v>
      </c>
      <c r="AG19" s="17"/>
      <c r="AH19" s="18">
        <f>VLOOKUP(A19,Hoja3!$B$3:$E$35,4,0)</f>
        <v>2010457487</v>
      </c>
      <c r="AI19" s="18"/>
      <c r="AJ19" s="19">
        <f t="shared" si="10"/>
        <v>0</v>
      </c>
      <c r="AK19" s="19">
        <f t="shared" si="11"/>
        <v>0</v>
      </c>
      <c r="AL19" s="19">
        <f t="shared" si="12"/>
        <v>10549882682.666666</v>
      </c>
      <c r="AM19" s="19">
        <f t="shared" si="13"/>
        <v>34157701</v>
      </c>
    </row>
    <row r="20" spans="1:39" ht="12.75">
      <c r="A20" s="14">
        <v>8905015104</v>
      </c>
      <c r="B20" s="14">
        <v>890501510</v>
      </c>
      <c r="C20" s="14">
        <v>125454000</v>
      </c>
      <c r="D20" s="15" t="s">
        <v>34</v>
      </c>
      <c r="E20" s="16" t="s">
        <v>35</v>
      </c>
      <c r="F20" s="17">
        <v>0</v>
      </c>
      <c r="G20" s="17"/>
      <c r="H20" s="18">
        <v>1956264132.8666668</v>
      </c>
      <c r="I20" s="17"/>
      <c r="J20" s="19">
        <f t="shared" si="0"/>
        <v>0</v>
      </c>
      <c r="K20" s="19">
        <f t="shared" si="0"/>
        <v>0</v>
      </c>
      <c r="L20" s="19">
        <f t="shared" si="0"/>
        <v>1956264132.8666668</v>
      </c>
      <c r="M20" s="17">
        <v>0</v>
      </c>
      <c r="N20" s="17"/>
      <c r="O20" s="18">
        <v>3912528266</v>
      </c>
      <c r="P20" s="19">
        <f t="shared" si="1"/>
        <v>0</v>
      </c>
      <c r="Q20" s="19">
        <f t="shared" si="2"/>
        <v>0</v>
      </c>
      <c r="R20" s="19">
        <f t="shared" si="3"/>
        <v>5868792398.866667</v>
      </c>
      <c r="S20" s="17">
        <v>0</v>
      </c>
      <c r="T20" s="17"/>
      <c r="U20" s="18">
        <v>1956264133</v>
      </c>
      <c r="V20" s="19">
        <f t="shared" si="4"/>
        <v>0</v>
      </c>
      <c r="W20" s="19">
        <f t="shared" si="5"/>
        <v>0</v>
      </c>
      <c r="X20" s="19">
        <f t="shared" si="6"/>
        <v>7825056531.866667</v>
      </c>
      <c r="Y20" s="17">
        <v>0</v>
      </c>
      <c r="Z20" s="17">
        <v>0</v>
      </c>
      <c r="AA20" s="18">
        <v>1956264133</v>
      </c>
      <c r="AB20" s="19">
        <f t="shared" si="7"/>
        <v>0</v>
      </c>
      <c r="AC20" s="19">
        <f t="shared" si="8"/>
        <v>0</v>
      </c>
      <c r="AD20" s="19">
        <f t="shared" si="9"/>
        <v>9781320664.866667</v>
      </c>
      <c r="AE20" s="75">
        <v>42479708</v>
      </c>
      <c r="AF20" s="17">
        <v>0</v>
      </c>
      <c r="AG20" s="17"/>
      <c r="AH20" s="18">
        <f>VLOOKUP(A20,Hoja3!$B$3:$E$35,4,0)</f>
        <v>2208964845</v>
      </c>
      <c r="AI20" s="18"/>
      <c r="AJ20" s="19">
        <f t="shared" si="10"/>
        <v>0</v>
      </c>
      <c r="AK20" s="19">
        <f t="shared" si="11"/>
        <v>0</v>
      </c>
      <c r="AL20" s="19">
        <f t="shared" si="12"/>
        <v>11990285509.866667</v>
      </c>
      <c r="AM20" s="19">
        <f t="shared" si="13"/>
        <v>42479708</v>
      </c>
    </row>
    <row r="21" spans="1:39" ht="12.75">
      <c r="A21" s="14">
        <v>8906800622</v>
      </c>
      <c r="B21" s="14">
        <v>890680062</v>
      </c>
      <c r="C21" s="14">
        <v>127625000</v>
      </c>
      <c r="D21" s="15" t="s">
        <v>36</v>
      </c>
      <c r="E21" s="16" t="s">
        <v>37</v>
      </c>
      <c r="F21" s="17">
        <v>0</v>
      </c>
      <c r="G21" s="17"/>
      <c r="H21" s="18">
        <v>667426010.1333333</v>
      </c>
      <c r="I21" s="17"/>
      <c r="J21" s="19">
        <f t="shared" si="0"/>
        <v>0</v>
      </c>
      <c r="K21" s="19">
        <f t="shared" si="0"/>
        <v>0</v>
      </c>
      <c r="L21" s="19">
        <f t="shared" si="0"/>
        <v>667426010.1333333</v>
      </c>
      <c r="M21" s="17">
        <v>0</v>
      </c>
      <c r="N21" s="17"/>
      <c r="O21" s="18">
        <v>1334852020</v>
      </c>
      <c r="P21" s="19">
        <f t="shared" si="1"/>
        <v>0</v>
      </c>
      <c r="Q21" s="19">
        <f t="shared" si="2"/>
        <v>0</v>
      </c>
      <c r="R21" s="19">
        <f t="shared" si="3"/>
        <v>2002278030.1333332</v>
      </c>
      <c r="S21" s="17">
        <v>0</v>
      </c>
      <c r="T21" s="17"/>
      <c r="U21" s="18">
        <v>667426010</v>
      </c>
      <c r="V21" s="19">
        <f t="shared" si="4"/>
        <v>0</v>
      </c>
      <c r="W21" s="19">
        <f t="shared" si="5"/>
        <v>0</v>
      </c>
      <c r="X21" s="19">
        <f t="shared" si="6"/>
        <v>2669704040.133333</v>
      </c>
      <c r="Y21" s="17">
        <v>0</v>
      </c>
      <c r="Z21" s="17">
        <v>0</v>
      </c>
      <c r="AA21" s="18">
        <v>667426010</v>
      </c>
      <c r="AB21" s="19">
        <f t="shared" si="7"/>
        <v>0</v>
      </c>
      <c r="AC21" s="19">
        <f t="shared" si="8"/>
        <v>0</v>
      </c>
      <c r="AD21" s="19">
        <f t="shared" si="9"/>
        <v>3337130050.133333</v>
      </c>
      <c r="AE21" s="75">
        <v>16939190</v>
      </c>
      <c r="AF21" s="17">
        <v>0</v>
      </c>
      <c r="AG21" s="17"/>
      <c r="AH21" s="18">
        <f>VLOOKUP(A21,Hoja3!$B$3:$E$35,4,0)</f>
        <v>937923910</v>
      </c>
      <c r="AI21" s="18"/>
      <c r="AJ21" s="19">
        <f t="shared" si="10"/>
        <v>0</v>
      </c>
      <c r="AK21" s="19">
        <f t="shared" si="11"/>
        <v>0</v>
      </c>
      <c r="AL21" s="19">
        <f t="shared" si="12"/>
        <v>4275053960.133333</v>
      </c>
      <c r="AM21" s="19">
        <f t="shared" si="13"/>
        <v>16939190</v>
      </c>
    </row>
    <row r="22" spans="1:39" ht="12.75">
      <c r="A22" s="14">
        <v>8907006407</v>
      </c>
      <c r="B22" s="14">
        <v>890700640</v>
      </c>
      <c r="C22" s="14">
        <v>129373000</v>
      </c>
      <c r="D22" s="15" t="s">
        <v>38</v>
      </c>
      <c r="E22" s="22" t="s">
        <v>105</v>
      </c>
      <c r="F22" s="17">
        <v>0</v>
      </c>
      <c r="G22" s="17"/>
      <c r="H22" s="18">
        <v>2284659965</v>
      </c>
      <c r="I22" s="17"/>
      <c r="J22" s="19">
        <f t="shared" si="0"/>
        <v>0</v>
      </c>
      <c r="K22" s="19">
        <f t="shared" si="0"/>
        <v>0</v>
      </c>
      <c r="L22" s="19">
        <f t="shared" si="0"/>
        <v>2284659965</v>
      </c>
      <c r="M22" s="17">
        <v>0</v>
      </c>
      <c r="N22" s="17"/>
      <c r="O22" s="18">
        <v>4569319930</v>
      </c>
      <c r="P22" s="19">
        <f t="shared" si="1"/>
        <v>0</v>
      </c>
      <c r="Q22" s="19">
        <f t="shared" si="2"/>
        <v>0</v>
      </c>
      <c r="R22" s="19">
        <f t="shared" si="3"/>
        <v>6853979895</v>
      </c>
      <c r="S22" s="17">
        <v>0</v>
      </c>
      <c r="T22" s="17"/>
      <c r="U22" s="18">
        <v>2284664965</v>
      </c>
      <c r="V22" s="19">
        <f t="shared" si="4"/>
        <v>0</v>
      </c>
      <c r="W22" s="19">
        <f t="shared" si="5"/>
        <v>0</v>
      </c>
      <c r="X22" s="19">
        <f t="shared" si="6"/>
        <v>9138644860</v>
      </c>
      <c r="Y22" s="17">
        <v>0</v>
      </c>
      <c r="Z22" s="17">
        <v>0</v>
      </c>
      <c r="AA22" s="18">
        <v>2284664965</v>
      </c>
      <c r="AB22" s="19">
        <f t="shared" si="7"/>
        <v>0</v>
      </c>
      <c r="AC22" s="19">
        <f t="shared" si="8"/>
        <v>0</v>
      </c>
      <c r="AD22" s="19">
        <f t="shared" si="9"/>
        <v>11423309825</v>
      </c>
      <c r="AE22" s="75">
        <v>45693299</v>
      </c>
      <c r="AF22" s="17">
        <v>0</v>
      </c>
      <c r="AG22" s="17"/>
      <c r="AH22" s="18">
        <f>VLOOKUP(A22,Hoja3!$B$3:$E$35,4,0)</f>
        <v>2601031064</v>
      </c>
      <c r="AI22" s="18"/>
      <c r="AJ22" s="19">
        <f t="shared" si="10"/>
        <v>0</v>
      </c>
      <c r="AK22" s="19">
        <f t="shared" si="11"/>
        <v>0</v>
      </c>
      <c r="AL22" s="19">
        <f t="shared" si="12"/>
        <v>14024340889</v>
      </c>
      <c r="AM22" s="19">
        <f t="shared" si="13"/>
        <v>45693299</v>
      </c>
    </row>
    <row r="23" spans="1:39" ht="12.75">
      <c r="A23" s="14">
        <v>8907009060</v>
      </c>
      <c r="B23" s="14">
        <v>890700906</v>
      </c>
      <c r="C23" s="14">
        <v>128873000</v>
      </c>
      <c r="D23" s="15" t="s">
        <v>39</v>
      </c>
      <c r="E23" s="16" t="s">
        <v>40</v>
      </c>
      <c r="F23" s="17">
        <v>0</v>
      </c>
      <c r="G23" s="17"/>
      <c r="H23" s="18">
        <v>63845174</v>
      </c>
      <c r="I23" s="17"/>
      <c r="J23" s="19">
        <f t="shared" si="0"/>
        <v>0</v>
      </c>
      <c r="K23" s="19">
        <f t="shared" si="0"/>
        <v>0</v>
      </c>
      <c r="L23" s="19">
        <f t="shared" si="0"/>
        <v>63845174</v>
      </c>
      <c r="M23" s="17">
        <v>0</v>
      </c>
      <c r="N23" s="17"/>
      <c r="O23" s="18">
        <v>63845174</v>
      </c>
      <c r="P23" s="19">
        <f t="shared" si="1"/>
        <v>0</v>
      </c>
      <c r="Q23" s="19">
        <f t="shared" si="2"/>
        <v>0</v>
      </c>
      <c r="R23" s="19">
        <f t="shared" si="3"/>
        <v>127690348</v>
      </c>
      <c r="S23" s="17">
        <v>0</v>
      </c>
      <c r="T23" s="17"/>
      <c r="U23" s="18">
        <v>63845174</v>
      </c>
      <c r="V23" s="19">
        <f t="shared" si="4"/>
        <v>0</v>
      </c>
      <c r="W23" s="19">
        <f t="shared" si="5"/>
        <v>0</v>
      </c>
      <c r="X23" s="19">
        <f t="shared" si="6"/>
        <v>191535522</v>
      </c>
      <c r="Y23" s="17">
        <v>0</v>
      </c>
      <c r="Z23" s="17">
        <v>0</v>
      </c>
      <c r="AA23" s="18">
        <v>63845174</v>
      </c>
      <c r="AB23" s="19">
        <f t="shared" si="7"/>
        <v>0</v>
      </c>
      <c r="AC23" s="19">
        <f t="shared" si="8"/>
        <v>0</v>
      </c>
      <c r="AD23" s="19">
        <f t="shared" si="9"/>
        <v>255380696</v>
      </c>
      <c r="AE23" s="75">
        <v>0</v>
      </c>
      <c r="AF23" s="17">
        <v>0</v>
      </c>
      <c r="AG23" s="17"/>
      <c r="AH23" s="18">
        <f>VLOOKUP(A23,Hoja3!$B$37:$C$50,2,0)</f>
        <v>63845174</v>
      </c>
      <c r="AI23" s="18"/>
      <c r="AJ23" s="19">
        <f t="shared" si="10"/>
        <v>0</v>
      </c>
      <c r="AK23" s="19">
        <f t="shared" si="11"/>
        <v>0</v>
      </c>
      <c r="AL23" s="19">
        <f t="shared" si="12"/>
        <v>319225870</v>
      </c>
      <c r="AM23" s="19">
        <f t="shared" si="13"/>
        <v>0</v>
      </c>
    </row>
    <row r="24" spans="1:39" ht="12.75">
      <c r="A24" s="14">
        <v>8908010630</v>
      </c>
      <c r="B24" s="14">
        <v>890801063</v>
      </c>
      <c r="C24" s="14">
        <v>27017000</v>
      </c>
      <c r="D24" s="15" t="s">
        <v>41</v>
      </c>
      <c r="E24" s="16" t="s">
        <v>42</v>
      </c>
      <c r="F24" s="17">
        <v>992908558.2</v>
      </c>
      <c r="G24" s="17"/>
      <c r="H24" s="18">
        <v>3723281310.4666667</v>
      </c>
      <c r="I24" s="17"/>
      <c r="J24" s="19">
        <f t="shared" si="0"/>
        <v>992908558.2</v>
      </c>
      <c r="K24" s="19">
        <f t="shared" si="0"/>
        <v>0</v>
      </c>
      <c r="L24" s="19">
        <f t="shared" si="0"/>
        <v>3723281310.4666667</v>
      </c>
      <c r="M24" s="17">
        <v>992908558</v>
      </c>
      <c r="N24" s="17"/>
      <c r="O24" s="18">
        <v>7446562620</v>
      </c>
      <c r="P24" s="19">
        <f t="shared" si="1"/>
        <v>1985817116.2</v>
      </c>
      <c r="Q24" s="19">
        <f t="shared" si="2"/>
        <v>0</v>
      </c>
      <c r="R24" s="19">
        <f t="shared" si="3"/>
        <v>11169843930.466667</v>
      </c>
      <c r="S24" s="17">
        <v>992908558</v>
      </c>
      <c r="T24" s="17"/>
      <c r="U24" s="18">
        <v>3723281310</v>
      </c>
      <c r="V24" s="19">
        <f t="shared" si="4"/>
        <v>2978725674.2</v>
      </c>
      <c r="W24" s="19">
        <f t="shared" si="5"/>
        <v>0</v>
      </c>
      <c r="X24" s="19">
        <f t="shared" si="6"/>
        <v>14893125240.466667</v>
      </c>
      <c r="Y24" s="17">
        <v>992908558</v>
      </c>
      <c r="Z24" s="17">
        <v>2817145170</v>
      </c>
      <c r="AA24" s="18">
        <v>3723281310</v>
      </c>
      <c r="AB24" s="19">
        <f t="shared" si="7"/>
        <v>3971634232.2</v>
      </c>
      <c r="AC24" s="19">
        <f t="shared" si="8"/>
        <v>2817145170</v>
      </c>
      <c r="AD24" s="19">
        <f t="shared" si="9"/>
        <v>18616406550.466667</v>
      </c>
      <c r="AE24" s="75">
        <v>94323797</v>
      </c>
      <c r="AF24" s="17">
        <f>VLOOKUP(A24,Hoja3!$B$54:$C$59,2,0)</f>
        <v>992908558</v>
      </c>
      <c r="AG24" s="17"/>
      <c r="AH24" s="18">
        <f>VLOOKUP(A24,Hoja3!$B$3:$E$35,4,0)</f>
        <v>4138488976</v>
      </c>
      <c r="AI24" s="18"/>
      <c r="AJ24" s="19">
        <f t="shared" si="10"/>
        <v>4964542790.2</v>
      </c>
      <c r="AK24" s="19">
        <f t="shared" si="11"/>
        <v>2817145170</v>
      </c>
      <c r="AL24" s="19">
        <f t="shared" si="12"/>
        <v>22754895526.466667</v>
      </c>
      <c r="AM24" s="19">
        <f t="shared" si="13"/>
        <v>94323797</v>
      </c>
    </row>
    <row r="25" spans="1:39" ht="12.75">
      <c r="A25" s="14">
        <v>8908026784</v>
      </c>
      <c r="B25" s="14">
        <v>890802678</v>
      </c>
      <c r="C25" s="14">
        <v>825717000</v>
      </c>
      <c r="D25" s="15" t="s">
        <v>43</v>
      </c>
      <c r="E25" s="16" t="s">
        <v>44</v>
      </c>
      <c r="F25" s="17">
        <v>0</v>
      </c>
      <c r="G25" s="17"/>
      <c r="H25" s="18">
        <v>128187289</v>
      </c>
      <c r="I25" s="17"/>
      <c r="J25" s="19">
        <f t="shared" si="0"/>
        <v>0</v>
      </c>
      <c r="K25" s="19">
        <f t="shared" si="0"/>
        <v>0</v>
      </c>
      <c r="L25" s="19">
        <f t="shared" si="0"/>
        <v>128187289</v>
      </c>
      <c r="M25" s="17">
        <v>0</v>
      </c>
      <c r="N25" s="17"/>
      <c r="O25" s="18">
        <v>128187289</v>
      </c>
      <c r="P25" s="19">
        <f t="shared" si="1"/>
        <v>0</v>
      </c>
      <c r="Q25" s="19">
        <f t="shared" si="2"/>
        <v>0</v>
      </c>
      <c r="R25" s="19">
        <f t="shared" si="3"/>
        <v>256374578</v>
      </c>
      <c r="S25" s="17">
        <v>0</v>
      </c>
      <c r="T25" s="17"/>
      <c r="U25" s="18">
        <v>128187289</v>
      </c>
      <c r="V25" s="19">
        <f t="shared" si="4"/>
        <v>0</v>
      </c>
      <c r="W25" s="19">
        <f t="shared" si="5"/>
        <v>0</v>
      </c>
      <c r="X25" s="19">
        <f t="shared" si="6"/>
        <v>384561867</v>
      </c>
      <c r="Y25" s="17">
        <v>0</v>
      </c>
      <c r="Z25" s="17">
        <v>0</v>
      </c>
      <c r="AA25" s="18">
        <v>128187289</v>
      </c>
      <c r="AB25" s="19">
        <f t="shared" si="7"/>
        <v>0</v>
      </c>
      <c r="AC25" s="19">
        <f t="shared" si="8"/>
        <v>0</v>
      </c>
      <c r="AD25" s="19">
        <f t="shared" si="9"/>
        <v>512749156</v>
      </c>
      <c r="AE25" s="75">
        <v>2563746</v>
      </c>
      <c r="AF25" s="17">
        <v>0</v>
      </c>
      <c r="AG25" s="17"/>
      <c r="AH25" s="18">
        <f>VLOOKUP(A25,Hoja3!$B$37:$C$50,2,0)</f>
        <v>128187289</v>
      </c>
      <c r="AI25" s="18"/>
      <c r="AJ25" s="19">
        <f t="shared" si="10"/>
        <v>0</v>
      </c>
      <c r="AK25" s="19">
        <f t="shared" si="11"/>
        <v>0</v>
      </c>
      <c r="AL25" s="19">
        <f t="shared" si="12"/>
        <v>640936445</v>
      </c>
      <c r="AM25" s="19">
        <f t="shared" si="13"/>
        <v>2563746</v>
      </c>
    </row>
    <row r="26" spans="1:39" ht="12.75">
      <c r="A26" s="14">
        <v>8909800408</v>
      </c>
      <c r="B26" s="14">
        <v>890980040</v>
      </c>
      <c r="C26" s="14">
        <v>120205000</v>
      </c>
      <c r="D26" s="15" t="s">
        <v>45</v>
      </c>
      <c r="E26" s="16" t="s">
        <v>109</v>
      </c>
      <c r="F26" s="17">
        <v>0</v>
      </c>
      <c r="G26" s="17"/>
      <c r="H26" s="18">
        <v>15018169354.866667</v>
      </c>
      <c r="I26" s="17"/>
      <c r="J26" s="19">
        <f t="shared" si="0"/>
        <v>0</v>
      </c>
      <c r="K26" s="19">
        <f t="shared" si="0"/>
        <v>0</v>
      </c>
      <c r="L26" s="19">
        <f t="shared" si="0"/>
        <v>15018169354.866667</v>
      </c>
      <c r="M26" s="17">
        <v>0</v>
      </c>
      <c r="N26" s="17"/>
      <c r="O26" s="18">
        <v>30036338710</v>
      </c>
      <c r="P26" s="19">
        <f t="shared" si="1"/>
        <v>0</v>
      </c>
      <c r="Q26" s="19">
        <f t="shared" si="2"/>
        <v>0</v>
      </c>
      <c r="R26" s="19">
        <f t="shared" si="3"/>
        <v>45054508064.86667</v>
      </c>
      <c r="S26" s="17">
        <v>0</v>
      </c>
      <c r="T26" s="17"/>
      <c r="U26" s="18">
        <v>15018169355</v>
      </c>
      <c r="V26" s="19">
        <f t="shared" si="4"/>
        <v>0</v>
      </c>
      <c r="W26" s="19">
        <f t="shared" si="5"/>
        <v>0</v>
      </c>
      <c r="X26" s="19">
        <f t="shared" si="6"/>
        <v>60072677419.86667</v>
      </c>
      <c r="Y26" s="17">
        <v>0</v>
      </c>
      <c r="Z26" s="17">
        <v>0</v>
      </c>
      <c r="AA26" s="18">
        <v>15018169355</v>
      </c>
      <c r="AB26" s="19">
        <f t="shared" si="7"/>
        <v>0</v>
      </c>
      <c r="AC26" s="19">
        <f t="shared" si="8"/>
        <v>0</v>
      </c>
      <c r="AD26" s="19">
        <f t="shared" si="9"/>
        <v>75090846774.86667</v>
      </c>
      <c r="AE26" s="75">
        <v>300363387</v>
      </c>
      <c r="AF26" s="17">
        <v>0</v>
      </c>
      <c r="AG26" s="17"/>
      <c r="AH26" s="18">
        <f>VLOOKUP(A26,Hoja3!$B$3:$E$35,4,0)</f>
        <v>15358655816</v>
      </c>
      <c r="AI26" s="18"/>
      <c r="AJ26" s="19">
        <f t="shared" si="10"/>
        <v>0</v>
      </c>
      <c r="AK26" s="19">
        <f t="shared" si="11"/>
        <v>0</v>
      </c>
      <c r="AL26" s="19">
        <f t="shared" si="12"/>
        <v>90449502590.86667</v>
      </c>
      <c r="AM26" s="19">
        <f t="shared" si="13"/>
        <v>300363387</v>
      </c>
    </row>
    <row r="27" spans="1:39" ht="12.75">
      <c r="A27" s="14">
        <v>8909801341</v>
      </c>
      <c r="B27" s="14">
        <v>890980134</v>
      </c>
      <c r="C27" s="14">
        <v>824505000</v>
      </c>
      <c r="D27" s="15" t="s">
        <v>46</v>
      </c>
      <c r="E27" s="16" t="s">
        <v>47</v>
      </c>
      <c r="F27" s="17">
        <v>0</v>
      </c>
      <c r="G27" s="17"/>
      <c r="H27" s="18">
        <v>208672338</v>
      </c>
      <c r="I27" s="17"/>
      <c r="J27" s="19">
        <f t="shared" si="0"/>
        <v>0</v>
      </c>
      <c r="K27" s="19">
        <f t="shared" si="0"/>
        <v>0</v>
      </c>
      <c r="L27" s="19">
        <f t="shared" si="0"/>
        <v>208672338</v>
      </c>
      <c r="M27" s="17">
        <v>0</v>
      </c>
      <c r="N27" s="17"/>
      <c r="O27" s="18">
        <v>208672338</v>
      </c>
      <c r="P27" s="19">
        <f t="shared" si="1"/>
        <v>0</v>
      </c>
      <c r="Q27" s="19">
        <f t="shared" si="2"/>
        <v>0</v>
      </c>
      <c r="R27" s="19">
        <f t="shared" si="3"/>
        <v>417344676</v>
      </c>
      <c r="S27" s="17">
        <v>0</v>
      </c>
      <c r="T27" s="17"/>
      <c r="U27" s="18">
        <v>208672338</v>
      </c>
      <c r="V27" s="19">
        <f t="shared" si="4"/>
        <v>0</v>
      </c>
      <c r="W27" s="19">
        <f t="shared" si="5"/>
        <v>0</v>
      </c>
      <c r="X27" s="19">
        <f t="shared" si="6"/>
        <v>626017014</v>
      </c>
      <c r="Y27" s="17">
        <v>0</v>
      </c>
      <c r="Z27" s="17">
        <v>0</v>
      </c>
      <c r="AA27" s="18">
        <v>208672338</v>
      </c>
      <c r="AB27" s="19">
        <f t="shared" si="7"/>
        <v>0</v>
      </c>
      <c r="AC27" s="19">
        <f t="shared" si="8"/>
        <v>0</v>
      </c>
      <c r="AD27" s="19">
        <f t="shared" si="9"/>
        <v>834689352</v>
      </c>
      <c r="AE27" s="75">
        <v>4173447</v>
      </c>
      <c r="AF27" s="17">
        <v>0</v>
      </c>
      <c r="AG27" s="17"/>
      <c r="AH27" s="18">
        <f>VLOOKUP(A27,Hoja3!$B$37:$C$50,2,0)</f>
        <v>208672338</v>
      </c>
      <c r="AI27" s="18"/>
      <c r="AJ27" s="19">
        <f t="shared" si="10"/>
        <v>0</v>
      </c>
      <c r="AK27" s="19">
        <f t="shared" si="11"/>
        <v>0</v>
      </c>
      <c r="AL27" s="19">
        <f t="shared" si="12"/>
        <v>1043361690</v>
      </c>
      <c r="AM27" s="19">
        <f t="shared" si="13"/>
        <v>4173447</v>
      </c>
    </row>
    <row r="28" spans="1:39" ht="12.75">
      <c r="A28" s="14">
        <v>8909801501</v>
      </c>
      <c r="B28" s="14">
        <v>890980150</v>
      </c>
      <c r="C28" s="14">
        <v>824105000</v>
      </c>
      <c r="D28" s="15" t="s">
        <v>48</v>
      </c>
      <c r="E28" s="16" t="s">
        <v>49</v>
      </c>
      <c r="F28" s="17">
        <v>0</v>
      </c>
      <c r="G28" s="17"/>
      <c r="H28" s="18">
        <v>128354046</v>
      </c>
      <c r="I28" s="17"/>
      <c r="J28" s="19">
        <f t="shared" si="0"/>
        <v>0</v>
      </c>
      <c r="K28" s="19">
        <f t="shared" si="0"/>
        <v>0</v>
      </c>
      <c r="L28" s="19">
        <f t="shared" si="0"/>
        <v>128354046</v>
      </c>
      <c r="M28" s="17">
        <v>0</v>
      </c>
      <c r="N28" s="17"/>
      <c r="O28" s="18">
        <v>128354046</v>
      </c>
      <c r="P28" s="19">
        <f t="shared" si="1"/>
        <v>0</v>
      </c>
      <c r="Q28" s="19">
        <f t="shared" si="2"/>
        <v>0</v>
      </c>
      <c r="R28" s="19">
        <f t="shared" si="3"/>
        <v>256708092</v>
      </c>
      <c r="S28" s="17">
        <v>0</v>
      </c>
      <c r="T28" s="17"/>
      <c r="U28" s="18">
        <v>128354046</v>
      </c>
      <c r="V28" s="19">
        <f t="shared" si="4"/>
        <v>0</v>
      </c>
      <c r="W28" s="19">
        <f t="shared" si="5"/>
        <v>0</v>
      </c>
      <c r="X28" s="19">
        <f t="shared" si="6"/>
        <v>385062138</v>
      </c>
      <c r="Y28" s="17">
        <v>0</v>
      </c>
      <c r="Z28" s="17">
        <v>0</v>
      </c>
      <c r="AA28" s="18">
        <v>128354046</v>
      </c>
      <c r="AB28" s="19">
        <f t="shared" si="7"/>
        <v>0</v>
      </c>
      <c r="AC28" s="19">
        <f t="shared" si="8"/>
        <v>0</v>
      </c>
      <c r="AD28" s="19">
        <f t="shared" si="9"/>
        <v>513416184</v>
      </c>
      <c r="AE28" s="75">
        <v>0</v>
      </c>
      <c r="AF28" s="17">
        <v>0</v>
      </c>
      <c r="AG28" s="17"/>
      <c r="AH28" s="18">
        <f>VLOOKUP(A28,Hoja3!$B$37:$C$50,2,0)</f>
        <v>128354046</v>
      </c>
      <c r="AI28" s="18"/>
      <c r="AJ28" s="19">
        <f t="shared" si="10"/>
        <v>0</v>
      </c>
      <c r="AK28" s="19">
        <f t="shared" si="11"/>
        <v>0</v>
      </c>
      <c r="AL28" s="19">
        <f t="shared" si="12"/>
        <v>641770230</v>
      </c>
      <c r="AM28" s="19">
        <f t="shared" si="13"/>
        <v>0</v>
      </c>
    </row>
    <row r="29" spans="1:39" ht="15">
      <c r="A29" s="14">
        <v>8910800313</v>
      </c>
      <c r="B29" s="14">
        <v>891080031</v>
      </c>
      <c r="C29" s="14">
        <v>27123000</v>
      </c>
      <c r="D29" s="15" t="s">
        <v>50</v>
      </c>
      <c r="E29" s="23" t="s">
        <v>51</v>
      </c>
      <c r="F29" s="17">
        <v>1719875143.9333334</v>
      </c>
      <c r="G29" s="17"/>
      <c r="H29" s="18">
        <v>3746044366.4</v>
      </c>
      <c r="I29" s="17"/>
      <c r="J29" s="19">
        <f t="shared" si="0"/>
        <v>1719875143.9333334</v>
      </c>
      <c r="K29" s="19">
        <f t="shared" si="0"/>
        <v>0</v>
      </c>
      <c r="L29" s="19">
        <f t="shared" si="0"/>
        <v>3746044366.4</v>
      </c>
      <c r="M29" s="17">
        <v>1719875144</v>
      </c>
      <c r="N29" s="17"/>
      <c r="O29" s="18">
        <v>7492088734</v>
      </c>
      <c r="P29" s="19">
        <f t="shared" si="1"/>
        <v>3439750287.9333334</v>
      </c>
      <c r="Q29" s="19">
        <f t="shared" si="2"/>
        <v>0</v>
      </c>
      <c r="R29" s="19">
        <f t="shared" si="3"/>
        <v>11238133100.4</v>
      </c>
      <c r="S29" s="17">
        <v>1719875144</v>
      </c>
      <c r="T29" s="17"/>
      <c r="U29" s="18">
        <v>3746044367</v>
      </c>
      <c r="V29" s="19">
        <f t="shared" si="4"/>
        <v>5159625431.933333</v>
      </c>
      <c r="W29" s="19">
        <f t="shared" si="5"/>
        <v>0</v>
      </c>
      <c r="X29" s="19">
        <f t="shared" si="6"/>
        <v>14984177467.4</v>
      </c>
      <c r="Y29" s="17">
        <v>1719875144</v>
      </c>
      <c r="Z29" s="17">
        <v>1455196888</v>
      </c>
      <c r="AA29" s="18">
        <v>3746044367</v>
      </c>
      <c r="AB29" s="19">
        <f t="shared" si="7"/>
        <v>6879500575.933333</v>
      </c>
      <c r="AC29" s="19">
        <f t="shared" si="8"/>
        <v>1455196888</v>
      </c>
      <c r="AD29" s="19">
        <f t="shared" si="9"/>
        <v>18730221834.4</v>
      </c>
      <c r="AE29" s="75">
        <v>109318390</v>
      </c>
      <c r="AF29" s="17">
        <f>VLOOKUP(A29,Hoja3!$B$54:$C$59,2,0)</f>
        <v>1719875144</v>
      </c>
      <c r="AG29" s="17"/>
      <c r="AH29" s="18">
        <f>VLOOKUP(A29,Hoja3!$B$3:$E$35,4,0)</f>
        <v>4046512614</v>
      </c>
      <c r="AI29" s="18"/>
      <c r="AJ29" s="19">
        <f t="shared" si="10"/>
        <v>8599375719.933334</v>
      </c>
      <c r="AK29" s="19">
        <f t="shared" si="11"/>
        <v>1455196888</v>
      </c>
      <c r="AL29" s="19">
        <f t="shared" si="12"/>
        <v>22776734448.4</v>
      </c>
      <c r="AM29" s="19">
        <f t="shared" si="13"/>
        <v>109318390</v>
      </c>
    </row>
    <row r="30" spans="1:39" ht="12.75">
      <c r="A30" s="14">
        <v>8911800842</v>
      </c>
      <c r="B30" s="14">
        <v>891180084</v>
      </c>
      <c r="C30" s="14">
        <v>26141000</v>
      </c>
      <c r="D30" s="15" t="s">
        <v>52</v>
      </c>
      <c r="E30" s="16" t="s">
        <v>53</v>
      </c>
      <c r="F30" s="17">
        <v>0</v>
      </c>
      <c r="G30" s="17"/>
      <c r="H30" s="18">
        <v>2602200718.866667</v>
      </c>
      <c r="I30" s="17"/>
      <c r="J30" s="19">
        <f t="shared" si="0"/>
        <v>0</v>
      </c>
      <c r="K30" s="19">
        <f t="shared" si="0"/>
        <v>0</v>
      </c>
      <c r="L30" s="19">
        <f t="shared" si="0"/>
        <v>2602200718.866667</v>
      </c>
      <c r="M30" s="17">
        <v>0</v>
      </c>
      <c r="N30" s="17"/>
      <c r="O30" s="18">
        <v>5204401438</v>
      </c>
      <c r="P30" s="19">
        <f t="shared" si="1"/>
        <v>0</v>
      </c>
      <c r="Q30" s="19">
        <f t="shared" si="2"/>
        <v>0</v>
      </c>
      <c r="R30" s="19">
        <f t="shared" si="3"/>
        <v>7806602156.866667</v>
      </c>
      <c r="S30" s="17">
        <v>0</v>
      </c>
      <c r="T30" s="17"/>
      <c r="U30" s="18">
        <v>2602200719</v>
      </c>
      <c r="V30" s="19">
        <f t="shared" si="4"/>
        <v>0</v>
      </c>
      <c r="W30" s="19">
        <f t="shared" si="5"/>
        <v>0</v>
      </c>
      <c r="X30" s="19">
        <f t="shared" si="6"/>
        <v>10408802875.866667</v>
      </c>
      <c r="Y30" s="17">
        <v>0</v>
      </c>
      <c r="Z30" s="17">
        <v>1810819058</v>
      </c>
      <c r="AA30" s="18">
        <v>2602200719</v>
      </c>
      <c r="AB30" s="19">
        <f t="shared" si="7"/>
        <v>0</v>
      </c>
      <c r="AC30" s="19">
        <f t="shared" si="8"/>
        <v>1810819058</v>
      </c>
      <c r="AD30" s="19">
        <f t="shared" si="9"/>
        <v>13011003594.866667</v>
      </c>
      <c r="AE30" s="75">
        <v>56424124</v>
      </c>
      <c r="AF30" s="17">
        <v>0</v>
      </c>
      <c r="AG30" s="17"/>
      <c r="AH30" s="18">
        <f>VLOOKUP(A30,Hoja3!$B$3:$E$35,4,0)</f>
        <v>2932169965</v>
      </c>
      <c r="AI30" s="18"/>
      <c r="AJ30" s="19">
        <f t="shared" si="10"/>
        <v>0</v>
      </c>
      <c r="AK30" s="19">
        <f t="shared" si="11"/>
        <v>1810819058</v>
      </c>
      <c r="AL30" s="19">
        <f t="shared" si="12"/>
        <v>15943173559.866667</v>
      </c>
      <c r="AM30" s="19">
        <f t="shared" si="13"/>
        <v>56424124</v>
      </c>
    </row>
    <row r="31" spans="1:39" ht="12.75">
      <c r="A31" s="14">
        <v>8911903461</v>
      </c>
      <c r="B31" s="14">
        <v>891190346</v>
      </c>
      <c r="C31" s="14">
        <v>26318000</v>
      </c>
      <c r="D31" s="15" t="s">
        <v>54</v>
      </c>
      <c r="E31" s="16" t="s">
        <v>55</v>
      </c>
      <c r="F31" s="17">
        <v>0</v>
      </c>
      <c r="G31" s="17"/>
      <c r="H31" s="18">
        <v>1274216882.2666667</v>
      </c>
      <c r="I31" s="17"/>
      <c r="J31" s="19">
        <f t="shared" si="0"/>
        <v>0</v>
      </c>
      <c r="K31" s="19">
        <f t="shared" si="0"/>
        <v>0</v>
      </c>
      <c r="L31" s="19">
        <f t="shared" si="0"/>
        <v>1274216882.2666667</v>
      </c>
      <c r="M31" s="17">
        <v>0</v>
      </c>
      <c r="N31" s="17"/>
      <c r="O31" s="18">
        <v>2548433764</v>
      </c>
      <c r="P31" s="19">
        <f t="shared" si="1"/>
        <v>0</v>
      </c>
      <c r="Q31" s="19">
        <f t="shared" si="2"/>
        <v>0</v>
      </c>
      <c r="R31" s="19">
        <f t="shared" si="3"/>
        <v>3822650646.2666664</v>
      </c>
      <c r="S31" s="17">
        <v>0</v>
      </c>
      <c r="T31" s="17"/>
      <c r="U31" s="18">
        <v>1274216882</v>
      </c>
      <c r="V31" s="19">
        <f t="shared" si="4"/>
        <v>0</v>
      </c>
      <c r="W31" s="19">
        <f t="shared" si="5"/>
        <v>0</v>
      </c>
      <c r="X31" s="19">
        <f t="shared" si="6"/>
        <v>5096867528.266666</v>
      </c>
      <c r="Y31" s="17">
        <v>0</v>
      </c>
      <c r="Z31" s="17">
        <v>596392907</v>
      </c>
      <c r="AA31" s="18">
        <v>1274216882</v>
      </c>
      <c r="AB31" s="19">
        <f t="shared" si="7"/>
        <v>0</v>
      </c>
      <c r="AC31" s="19">
        <f t="shared" si="8"/>
        <v>596392907</v>
      </c>
      <c r="AD31" s="19">
        <f t="shared" si="9"/>
        <v>6371084410.266666</v>
      </c>
      <c r="AE31" s="75">
        <v>29176480</v>
      </c>
      <c r="AF31" s="17">
        <v>0</v>
      </c>
      <c r="AG31" s="17"/>
      <c r="AH31" s="18">
        <f>VLOOKUP(A31,Hoja3!$B$3:$E$35,4,0)</f>
        <v>1552359018</v>
      </c>
      <c r="AI31" s="18"/>
      <c r="AJ31" s="19">
        <f t="shared" si="10"/>
        <v>0</v>
      </c>
      <c r="AK31" s="19">
        <f t="shared" si="11"/>
        <v>596392907</v>
      </c>
      <c r="AL31" s="19">
        <f t="shared" si="12"/>
        <v>7923443428.266666</v>
      </c>
      <c r="AM31" s="19">
        <f t="shared" si="13"/>
        <v>29176480</v>
      </c>
    </row>
    <row r="32" spans="1:39" ht="12.75">
      <c r="A32" s="14">
        <v>8913800335</v>
      </c>
      <c r="B32" s="14">
        <v>891380033</v>
      </c>
      <c r="C32" s="14">
        <v>211176111</v>
      </c>
      <c r="D32" s="15" t="s">
        <v>56</v>
      </c>
      <c r="E32" s="16" t="s">
        <v>57</v>
      </c>
      <c r="F32" s="17">
        <v>0</v>
      </c>
      <c r="G32" s="17"/>
      <c r="H32" s="18">
        <v>0</v>
      </c>
      <c r="I32" s="17"/>
      <c r="J32" s="19">
        <f t="shared" si="0"/>
        <v>0</v>
      </c>
      <c r="K32" s="19">
        <f t="shared" si="0"/>
        <v>0</v>
      </c>
      <c r="L32" s="19">
        <f t="shared" si="0"/>
        <v>0</v>
      </c>
      <c r="M32" s="17">
        <v>0</v>
      </c>
      <c r="N32" s="17"/>
      <c r="O32" s="18">
        <v>0</v>
      </c>
      <c r="P32" s="19">
        <f t="shared" si="1"/>
        <v>0</v>
      </c>
      <c r="Q32" s="19">
        <f t="shared" si="2"/>
        <v>0</v>
      </c>
      <c r="R32" s="19">
        <f t="shared" si="3"/>
        <v>0</v>
      </c>
      <c r="S32" s="17">
        <v>0</v>
      </c>
      <c r="T32" s="17"/>
      <c r="U32" s="18">
        <v>0</v>
      </c>
      <c r="V32" s="19">
        <f t="shared" si="4"/>
        <v>0</v>
      </c>
      <c r="W32" s="19">
        <f t="shared" si="5"/>
        <v>0</v>
      </c>
      <c r="X32" s="19">
        <f t="shared" si="6"/>
        <v>0</v>
      </c>
      <c r="Y32" s="17">
        <v>0</v>
      </c>
      <c r="Z32" s="17">
        <v>0</v>
      </c>
      <c r="AA32" s="18">
        <v>0</v>
      </c>
      <c r="AB32" s="19">
        <f t="shared" si="7"/>
        <v>0</v>
      </c>
      <c r="AC32" s="19">
        <f t="shared" si="8"/>
        <v>0</v>
      </c>
      <c r="AD32" s="19">
        <f t="shared" si="9"/>
        <v>0</v>
      </c>
      <c r="AE32" s="75">
        <v>0</v>
      </c>
      <c r="AF32" s="17">
        <v>0</v>
      </c>
      <c r="AG32" s="17"/>
      <c r="AH32" s="18">
        <v>0</v>
      </c>
      <c r="AI32" s="18"/>
      <c r="AJ32" s="19">
        <f t="shared" si="10"/>
        <v>0</v>
      </c>
      <c r="AK32" s="19">
        <f t="shared" si="11"/>
        <v>0</v>
      </c>
      <c r="AL32" s="19">
        <f t="shared" si="12"/>
        <v>0</v>
      </c>
      <c r="AM32" s="19">
        <f t="shared" si="13"/>
        <v>0</v>
      </c>
    </row>
    <row r="33" spans="1:39" ht="12.75">
      <c r="A33" s="14">
        <v>8914800359</v>
      </c>
      <c r="B33" s="14">
        <v>891480035</v>
      </c>
      <c r="C33" s="14">
        <v>24666000</v>
      </c>
      <c r="D33" s="15" t="s">
        <v>58</v>
      </c>
      <c r="E33" s="16" t="s">
        <v>59</v>
      </c>
      <c r="F33" s="17">
        <v>264388268</v>
      </c>
      <c r="G33" s="17"/>
      <c r="H33" s="18">
        <v>4453714969.6</v>
      </c>
      <c r="I33" s="17"/>
      <c r="J33" s="19">
        <f t="shared" si="0"/>
        <v>264388268</v>
      </c>
      <c r="K33" s="19">
        <f t="shared" si="0"/>
        <v>0</v>
      </c>
      <c r="L33" s="19">
        <f t="shared" si="0"/>
        <v>4453714969.6</v>
      </c>
      <c r="M33" s="17">
        <v>264388268</v>
      </c>
      <c r="N33" s="17"/>
      <c r="O33" s="18">
        <v>8907429940</v>
      </c>
      <c r="P33" s="19">
        <f t="shared" si="1"/>
        <v>528776536</v>
      </c>
      <c r="Q33" s="19">
        <f t="shared" si="2"/>
        <v>0</v>
      </c>
      <c r="R33" s="19">
        <f t="shared" si="3"/>
        <v>13361144909.6</v>
      </c>
      <c r="S33" s="17">
        <v>264392632</v>
      </c>
      <c r="T33" s="17"/>
      <c r="U33" s="18">
        <v>4453714970</v>
      </c>
      <c r="V33" s="19">
        <f t="shared" si="4"/>
        <v>793169168</v>
      </c>
      <c r="W33" s="19">
        <f t="shared" si="5"/>
        <v>0</v>
      </c>
      <c r="X33" s="19">
        <f t="shared" si="6"/>
        <v>17814859879.6</v>
      </c>
      <c r="Y33" s="17">
        <v>264388268</v>
      </c>
      <c r="Z33" s="17">
        <v>2502683178</v>
      </c>
      <c r="AA33" s="18">
        <v>4453714970</v>
      </c>
      <c r="AB33" s="19">
        <f t="shared" si="7"/>
        <v>1057557436</v>
      </c>
      <c r="AC33" s="19">
        <f t="shared" si="8"/>
        <v>2502683178</v>
      </c>
      <c r="AD33" s="19">
        <f t="shared" si="9"/>
        <v>22268574849.6</v>
      </c>
      <c r="AE33" s="75">
        <v>94362064</v>
      </c>
      <c r="AF33" s="17">
        <f>VLOOKUP(A33,Hoja3!$B$54:$C$59,2,0)</f>
        <v>264388268</v>
      </c>
      <c r="AG33" s="17"/>
      <c r="AH33" s="18">
        <f>VLOOKUP(A33,Hoja3!$B$3:$E$35,4,0)</f>
        <v>4875786711</v>
      </c>
      <c r="AI33" s="18"/>
      <c r="AJ33" s="19">
        <f t="shared" si="10"/>
        <v>1321945704</v>
      </c>
      <c r="AK33" s="19">
        <f t="shared" si="11"/>
        <v>2502683178</v>
      </c>
      <c r="AL33" s="19">
        <f t="shared" si="12"/>
        <v>27144361560.6</v>
      </c>
      <c r="AM33" s="19">
        <f t="shared" si="13"/>
        <v>94362064</v>
      </c>
    </row>
    <row r="34" spans="1:39" ht="12.75">
      <c r="A34" s="14">
        <v>8915003192</v>
      </c>
      <c r="B34" s="14">
        <v>891500319</v>
      </c>
      <c r="C34" s="14">
        <v>27219000</v>
      </c>
      <c r="D34" s="15" t="s">
        <v>60</v>
      </c>
      <c r="E34" s="43" t="s">
        <v>108</v>
      </c>
      <c r="F34" s="17">
        <v>1076432589.9333334</v>
      </c>
      <c r="G34" s="17"/>
      <c r="H34" s="18">
        <v>4994354319.933333</v>
      </c>
      <c r="I34" s="17"/>
      <c r="J34" s="19">
        <f t="shared" si="0"/>
        <v>1076432589.9333334</v>
      </c>
      <c r="K34" s="19">
        <f t="shared" si="0"/>
        <v>0</v>
      </c>
      <c r="L34" s="19">
        <f t="shared" si="0"/>
        <v>4994354319.933333</v>
      </c>
      <c r="M34" s="17">
        <v>1076432590</v>
      </c>
      <c r="N34" s="17"/>
      <c r="O34" s="18">
        <v>9988708640</v>
      </c>
      <c r="P34" s="19">
        <f t="shared" si="1"/>
        <v>2152865179.9333334</v>
      </c>
      <c r="Q34" s="19">
        <f t="shared" si="2"/>
        <v>0</v>
      </c>
      <c r="R34" s="19">
        <f t="shared" si="3"/>
        <v>14983062959.933334</v>
      </c>
      <c r="S34" s="17">
        <v>1076432590</v>
      </c>
      <c r="T34" s="17"/>
      <c r="U34" s="18">
        <v>4994354320</v>
      </c>
      <c r="V34" s="19">
        <f t="shared" si="4"/>
        <v>3229297769.9333334</v>
      </c>
      <c r="W34" s="19">
        <f t="shared" si="5"/>
        <v>0</v>
      </c>
      <c r="X34" s="19">
        <f t="shared" si="6"/>
        <v>19977417279.933334</v>
      </c>
      <c r="Y34" s="17">
        <v>1076432590</v>
      </c>
      <c r="Z34" s="17">
        <v>2825820822</v>
      </c>
      <c r="AA34" s="18">
        <v>4994354320</v>
      </c>
      <c r="AB34" s="19">
        <f t="shared" si="7"/>
        <v>4305730359.933333</v>
      </c>
      <c r="AC34" s="19">
        <f t="shared" si="8"/>
        <v>2825820822</v>
      </c>
      <c r="AD34" s="19">
        <f t="shared" si="9"/>
        <v>24971771599.933334</v>
      </c>
      <c r="AE34" s="75">
        <v>121415738</v>
      </c>
      <c r="AF34" s="17">
        <f>VLOOKUP(A34,Hoja3!$B$54:$C$59,2,0)</f>
        <v>1076432590</v>
      </c>
      <c r="AG34" s="17"/>
      <c r="AH34" s="18">
        <f>VLOOKUP(A34,Hoja3!$B$3:$E$35,4,0)</f>
        <v>5270620538</v>
      </c>
      <c r="AI34" s="18"/>
      <c r="AJ34" s="19">
        <f t="shared" si="10"/>
        <v>5382162949.933333</v>
      </c>
      <c r="AK34" s="19">
        <f t="shared" si="11"/>
        <v>2825820822</v>
      </c>
      <c r="AL34" s="19">
        <f t="shared" si="12"/>
        <v>30242392137.933334</v>
      </c>
      <c r="AM34" s="19">
        <f t="shared" si="13"/>
        <v>121415738</v>
      </c>
    </row>
    <row r="35" spans="1:39" ht="12.75">
      <c r="A35" s="14">
        <v>8915007591</v>
      </c>
      <c r="B35" s="14">
        <v>891500759</v>
      </c>
      <c r="C35" s="14">
        <v>822719000</v>
      </c>
      <c r="D35" s="15" t="s">
        <v>61</v>
      </c>
      <c r="E35" s="16" t="s">
        <v>62</v>
      </c>
      <c r="F35" s="17">
        <v>0</v>
      </c>
      <c r="G35" s="17"/>
      <c r="H35" s="18">
        <v>262777234</v>
      </c>
      <c r="I35" s="17"/>
      <c r="J35" s="19">
        <f t="shared" si="0"/>
        <v>0</v>
      </c>
      <c r="K35" s="19">
        <f t="shared" si="0"/>
        <v>0</v>
      </c>
      <c r="L35" s="19">
        <f t="shared" si="0"/>
        <v>262777234</v>
      </c>
      <c r="M35" s="17">
        <v>0</v>
      </c>
      <c r="N35" s="17"/>
      <c r="O35" s="18">
        <v>262777234</v>
      </c>
      <c r="P35" s="19">
        <f t="shared" si="1"/>
        <v>0</v>
      </c>
      <c r="Q35" s="19">
        <f t="shared" si="2"/>
        <v>0</v>
      </c>
      <c r="R35" s="19">
        <f t="shared" si="3"/>
        <v>525554468</v>
      </c>
      <c r="S35" s="17">
        <v>0</v>
      </c>
      <c r="T35" s="17"/>
      <c r="U35" s="18">
        <v>262777234</v>
      </c>
      <c r="V35" s="19">
        <f t="shared" si="4"/>
        <v>0</v>
      </c>
      <c r="W35" s="19">
        <f t="shared" si="5"/>
        <v>0</v>
      </c>
      <c r="X35" s="19">
        <f t="shared" si="6"/>
        <v>788331702</v>
      </c>
      <c r="Y35" s="17">
        <v>0</v>
      </c>
      <c r="Z35" s="17">
        <v>0</v>
      </c>
      <c r="AA35" s="18">
        <v>262777234</v>
      </c>
      <c r="AB35" s="19">
        <f t="shared" si="7"/>
        <v>0</v>
      </c>
      <c r="AC35" s="19">
        <f t="shared" si="8"/>
        <v>0</v>
      </c>
      <c r="AD35" s="19">
        <f t="shared" si="9"/>
        <v>1051108936</v>
      </c>
      <c r="AE35" s="75">
        <v>5255545</v>
      </c>
      <c r="AF35" s="17">
        <v>0</v>
      </c>
      <c r="AG35" s="17"/>
      <c r="AH35" s="18">
        <f>VLOOKUP(A35,Hoja3!$B$37:$C$50,2,0)</f>
        <v>262777234</v>
      </c>
      <c r="AI35" s="18"/>
      <c r="AJ35" s="19">
        <f t="shared" si="10"/>
        <v>0</v>
      </c>
      <c r="AK35" s="19">
        <f t="shared" si="11"/>
        <v>0</v>
      </c>
      <c r="AL35" s="19">
        <f t="shared" si="12"/>
        <v>1313886170</v>
      </c>
      <c r="AM35" s="19">
        <f t="shared" si="13"/>
        <v>5255545</v>
      </c>
    </row>
    <row r="36" spans="1:39" ht="12.75">
      <c r="A36" s="14">
        <v>8916800894</v>
      </c>
      <c r="B36" s="14">
        <v>891680089</v>
      </c>
      <c r="C36" s="14">
        <v>28327000</v>
      </c>
      <c r="D36" s="15" t="s">
        <v>63</v>
      </c>
      <c r="E36" s="16" t="s">
        <v>64</v>
      </c>
      <c r="F36" s="17">
        <v>95786696</v>
      </c>
      <c r="G36" s="17"/>
      <c r="H36" s="18">
        <v>2193758048.866667</v>
      </c>
      <c r="I36" s="17"/>
      <c r="J36" s="19">
        <f t="shared" si="0"/>
        <v>95786696</v>
      </c>
      <c r="K36" s="19">
        <f t="shared" si="0"/>
        <v>0</v>
      </c>
      <c r="L36" s="19">
        <f t="shared" si="0"/>
        <v>2193758048.866667</v>
      </c>
      <c r="M36" s="17">
        <v>95786696</v>
      </c>
      <c r="N36" s="17"/>
      <c r="O36" s="18">
        <v>4387516098</v>
      </c>
      <c r="P36" s="19">
        <f t="shared" si="1"/>
        <v>191573392</v>
      </c>
      <c r="Q36" s="19">
        <f t="shared" si="2"/>
        <v>0</v>
      </c>
      <c r="R36" s="19">
        <f t="shared" si="3"/>
        <v>6581274146.866667</v>
      </c>
      <c r="S36" s="17">
        <v>95786696</v>
      </c>
      <c r="T36" s="17"/>
      <c r="U36" s="18">
        <v>2193758049</v>
      </c>
      <c r="V36" s="19">
        <f t="shared" si="4"/>
        <v>287360088</v>
      </c>
      <c r="W36" s="19">
        <f t="shared" si="5"/>
        <v>0</v>
      </c>
      <c r="X36" s="19">
        <f t="shared" si="6"/>
        <v>8775032195.866667</v>
      </c>
      <c r="Y36" s="17">
        <v>95786696</v>
      </c>
      <c r="Z36" s="17">
        <v>661453543</v>
      </c>
      <c r="AA36" s="18">
        <v>2193758049</v>
      </c>
      <c r="AB36" s="19">
        <f t="shared" si="7"/>
        <v>383146784</v>
      </c>
      <c r="AC36" s="19">
        <f t="shared" si="8"/>
        <v>661453543</v>
      </c>
      <c r="AD36" s="19">
        <f t="shared" si="9"/>
        <v>10968790244.866667</v>
      </c>
      <c r="AE36" s="75">
        <v>50014269</v>
      </c>
      <c r="AF36" s="17">
        <f>VLOOKUP(A36,Hoja3!$B$54:$C$59,2,0)</f>
        <v>95786696</v>
      </c>
      <c r="AG36" s="17"/>
      <c r="AH36" s="18">
        <f>VLOOKUP(A36,Hoja3!$B$3:$E$35,4,0)</f>
        <v>2511919802</v>
      </c>
      <c r="AI36" s="18"/>
      <c r="AJ36" s="19">
        <f t="shared" si="10"/>
        <v>478933480</v>
      </c>
      <c r="AK36" s="19">
        <f t="shared" si="11"/>
        <v>661453543</v>
      </c>
      <c r="AL36" s="19">
        <f t="shared" si="12"/>
        <v>13480710046.866667</v>
      </c>
      <c r="AM36" s="19">
        <f t="shared" si="13"/>
        <v>50014269</v>
      </c>
    </row>
    <row r="37" spans="1:39" ht="12.75">
      <c r="A37" s="14">
        <v>8917019320</v>
      </c>
      <c r="B37" s="14">
        <v>891701932</v>
      </c>
      <c r="C37" s="14">
        <v>823847000</v>
      </c>
      <c r="D37" s="15" t="s">
        <v>65</v>
      </c>
      <c r="E37" s="16" t="s">
        <v>66</v>
      </c>
      <c r="F37" s="17">
        <v>0</v>
      </c>
      <c r="G37" s="17"/>
      <c r="H37" s="18">
        <v>159276571</v>
      </c>
      <c r="I37" s="17"/>
      <c r="J37" s="19">
        <f t="shared" si="0"/>
        <v>0</v>
      </c>
      <c r="K37" s="19">
        <f t="shared" si="0"/>
        <v>0</v>
      </c>
      <c r="L37" s="19">
        <f t="shared" si="0"/>
        <v>159276571</v>
      </c>
      <c r="M37" s="17">
        <v>0</v>
      </c>
      <c r="N37" s="17"/>
      <c r="O37" s="18">
        <v>159276571</v>
      </c>
      <c r="P37" s="19">
        <f t="shared" si="1"/>
        <v>0</v>
      </c>
      <c r="Q37" s="19">
        <f t="shared" si="2"/>
        <v>0</v>
      </c>
      <c r="R37" s="19">
        <f t="shared" si="3"/>
        <v>318553142</v>
      </c>
      <c r="S37" s="17">
        <v>0</v>
      </c>
      <c r="T37" s="17"/>
      <c r="U37" s="18">
        <v>159276571</v>
      </c>
      <c r="V37" s="19">
        <f t="shared" si="4"/>
        <v>0</v>
      </c>
      <c r="W37" s="19">
        <f t="shared" si="5"/>
        <v>0</v>
      </c>
      <c r="X37" s="19">
        <f t="shared" si="6"/>
        <v>477829713</v>
      </c>
      <c r="Y37" s="17">
        <v>0</v>
      </c>
      <c r="Z37" s="17">
        <v>0</v>
      </c>
      <c r="AA37" s="18">
        <v>159276571</v>
      </c>
      <c r="AB37" s="19">
        <f t="shared" si="7"/>
        <v>0</v>
      </c>
      <c r="AC37" s="19">
        <f t="shared" si="8"/>
        <v>0</v>
      </c>
      <c r="AD37" s="19">
        <f t="shared" si="9"/>
        <v>637106284</v>
      </c>
      <c r="AE37" s="75">
        <v>3185531</v>
      </c>
      <c r="AF37" s="17">
        <v>0</v>
      </c>
      <c r="AG37" s="17"/>
      <c r="AH37" s="18">
        <f>VLOOKUP(A37,Hoja3!$B$37:$C$50,2,0)</f>
        <v>159276571</v>
      </c>
      <c r="AI37" s="18"/>
      <c r="AJ37" s="19">
        <f t="shared" si="10"/>
        <v>0</v>
      </c>
      <c r="AK37" s="19">
        <f t="shared" si="11"/>
        <v>0</v>
      </c>
      <c r="AL37" s="19">
        <f t="shared" si="12"/>
        <v>796382855</v>
      </c>
      <c r="AM37" s="19">
        <f t="shared" si="13"/>
        <v>3185531</v>
      </c>
    </row>
    <row r="38" spans="1:39" ht="12.75">
      <c r="A38" s="14">
        <v>8917801118</v>
      </c>
      <c r="B38" s="14">
        <v>891780111</v>
      </c>
      <c r="C38" s="14">
        <v>121647000</v>
      </c>
      <c r="D38" s="15" t="s">
        <v>67</v>
      </c>
      <c r="E38" s="16" t="s">
        <v>68</v>
      </c>
      <c r="F38" s="17">
        <v>0</v>
      </c>
      <c r="G38" s="17"/>
      <c r="H38" s="18">
        <v>2426696944</v>
      </c>
      <c r="I38" s="17"/>
      <c r="J38" s="19">
        <f t="shared" si="0"/>
        <v>0</v>
      </c>
      <c r="K38" s="19">
        <f t="shared" si="0"/>
        <v>0</v>
      </c>
      <c r="L38" s="19">
        <f t="shared" si="0"/>
        <v>2426696944</v>
      </c>
      <c r="M38" s="17">
        <v>0</v>
      </c>
      <c r="N38" s="17"/>
      <c r="O38" s="18">
        <v>4853393888</v>
      </c>
      <c r="P38" s="19">
        <f t="shared" si="1"/>
        <v>0</v>
      </c>
      <c r="Q38" s="19">
        <f t="shared" si="2"/>
        <v>0</v>
      </c>
      <c r="R38" s="19">
        <f t="shared" si="3"/>
        <v>7280090832</v>
      </c>
      <c r="S38" s="17">
        <v>0</v>
      </c>
      <c r="T38" s="17"/>
      <c r="U38" s="18">
        <v>2426696944</v>
      </c>
      <c r="V38" s="19">
        <f t="shared" si="4"/>
        <v>0</v>
      </c>
      <c r="W38" s="19">
        <f t="shared" si="5"/>
        <v>0</v>
      </c>
      <c r="X38" s="19">
        <f t="shared" si="6"/>
        <v>9706787776</v>
      </c>
      <c r="Y38" s="17">
        <v>0</v>
      </c>
      <c r="Z38" s="17">
        <v>0</v>
      </c>
      <c r="AA38" s="18">
        <v>2426696944</v>
      </c>
      <c r="AB38" s="19">
        <f t="shared" si="7"/>
        <v>0</v>
      </c>
      <c r="AC38" s="19">
        <f t="shared" si="8"/>
        <v>0</v>
      </c>
      <c r="AD38" s="19">
        <f t="shared" si="9"/>
        <v>12133484720</v>
      </c>
      <c r="AE38" s="75">
        <v>48533939</v>
      </c>
      <c r="AF38" s="17">
        <v>0</v>
      </c>
      <c r="AG38" s="17"/>
      <c r="AH38" s="18">
        <f>VLOOKUP(A38,Hoja3!$B$3:$E$35,4,0)</f>
        <v>2791076236</v>
      </c>
      <c r="AI38" s="18"/>
      <c r="AJ38" s="19">
        <f t="shared" si="10"/>
        <v>0</v>
      </c>
      <c r="AK38" s="19">
        <f t="shared" si="11"/>
        <v>0</v>
      </c>
      <c r="AL38" s="19">
        <f t="shared" si="12"/>
        <v>14924560956</v>
      </c>
      <c r="AM38" s="19">
        <f t="shared" si="13"/>
        <v>48533939</v>
      </c>
    </row>
    <row r="39" spans="1:39" ht="12.75">
      <c r="A39" s="14">
        <v>8918002604</v>
      </c>
      <c r="B39" s="14">
        <v>891800260</v>
      </c>
      <c r="C39" s="14">
        <v>20615000</v>
      </c>
      <c r="D39" s="15" t="s">
        <v>69</v>
      </c>
      <c r="E39" s="16" t="s">
        <v>70</v>
      </c>
      <c r="F39" s="17">
        <v>0</v>
      </c>
      <c r="G39" s="17"/>
      <c r="H39" s="18">
        <v>393245961</v>
      </c>
      <c r="I39" s="17"/>
      <c r="J39" s="19">
        <f t="shared" si="0"/>
        <v>0</v>
      </c>
      <c r="K39" s="19">
        <f t="shared" si="0"/>
        <v>0</v>
      </c>
      <c r="L39" s="19">
        <f t="shared" si="0"/>
        <v>393245961</v>
      </c>
      <c r="M39" s="17">
        <v>0</v>
      </c>
      <c r="N39" s="17"/>
      <c r="O39" s="18">
        <v>393245961</v>
      </c>
      <c r="P39" s="19">
        <f t="shared" si="1"/>
        <v>0</v>
      </c>
      <c r="Q39" s="19">
        <f t="shared" si="2"/>
        <v>0</v>
      </c>
      <c r="R39" s="19">
        <f t="shared" si="3"/>
        <v>786491922</v>
      </c>
      <c r="S39" s="17">
        <v>0</v>
      </c>
      <c r="T39" s="17"/>
      <c r="U39" s="18">
        <v>393245961</v>
      </c>
      <c r="V39" s="19">
        <f t="shared" si="4"/>
        <v>0</v>
      </c>
      <c r="W39" s="19">
        <f t="shared" si="5"/>
        <v>0</v>
      </c>
      <c r="X39" s="19">
        <f t="shared" si="6"/>
        <v>1179737883</v>
      </c>
      <c r="Y39" s="17">
        <v>0</v>
      </c>
      <c r="Z39" s="17">
        <v>0</v>
      </c>
      <c r="AA39" s="18">
        <v>393245961</v>
      </c>
      <c r="AB39" s="19">
        <f t="shared" si="7"/>
        <v>0</v>
      </c>
      <c r="AC39" s="19">
        <f t="shared" si="8"/>
        <v>0</v>
      </c>
      <c r="AD39" s="19">
        <f t="shared" si="9"/>
        <v>1572983844</v>
      </c>
      <c r="AE39" s="75">
        <v>0</v>
      </c>
      <c r="AF39" s="17">
        <v>0</v>
      </c>
      <c r="AG39" s="17"/>
      <c r="AH39" s="18">
        <f>VLOOKUP(A39,Hoja3!$B$37:$C$50,2,0)</f>
        <v>393245961</v>
      </c>
      <c r="AI39" s="18"/>
      <c r="AJ39" s="19">
        <f t="shared" si="10"/>
        <v>0</v>
      </c>
      <c r="AK39" s="19">
        <f t="shared" si="11"/>
        <v>0</v>
      </c>
      <c r="AL39" s="19">
        <f t="shared" si="12"/>
        <v>1966229805</v>
      </c>
      <c r="AM39" s="19">
        <f t="shared" si="13"/>
        <v>0</v>
      </c>
    </row>
    <row r="40" spans="1:39" ht="12.75">
      <c r="A40" s="14">
        <v>8918003301</v>
      </c>
      <c r="B40" s="14">
        <v>891800330</v>
      </c>
      <c r="C40" s="14">
        <v>27615000</v>
      </c>
      <c r="D40" s="15" t="s">
        <v>71</v>
      </c>
      <c r="E40" s="22" t="s">
        <v>107</v>
      </c>
      <c r="F40" s="17">
        <v>0</v>
      </c>
      <c r="G40" s="17"/>
      <c r="H40" s="18">
        <v>5987067065.333333</v>
      </c>
      <c r="I40" s="17"/>
      <c r="J40" s="19">
        <f t="shared" si="0"/>
        <v>0</v>
      </c>
      <c r="K40" s="19">
        <f t="shared" si="0"/>
        <v>0</v>
      </c>
      <c r="L40" s="19">
        <f t="shared" si="0"/>
        <v>5987067065.333333</v>
      </c>
      <c r="M40" s="17">
        <v>0</v>
      </c>
      <c r="N40" s="17"/>
      <c r="O40" s="18">
        <v>11974134130</v>
      </c>
      <c r="P40" s="19">
        <f t="shared" si="1"/>
        <v>0</v>
      </c>
      <c r="Q40" s="19">
        <f t="shared" si="2"/>
        <v>0</v>
      </c>
      <c r="R40" s="19">
        <f t="shared" si="3"/>
        <v>17961201195.333332</v>
      </c>
      <c r="S40" s="17">
        <v>0</v>
      </c>
      <c r="T40" s="17"/>
      <c r="U40" s="18">
        <v>5987067065</v>
      </c>
      <c r="V40" s="19">
        <f t="shared" si="4"/>
        <v>0</v>
      </c>
      <c r="W40" s="19">
        <f t="shared" si="5"/>
        <v>0</v>
      </c>
      <c r="X40" s="19">
        <f t="shared" si="6"/>
        <v>23948268260.333332</v>
      </c>
      <c r="Y40" s="17">
        <v>0</v>
      </c>
      <c r="Z40" s="17">
        <v>3903665130</v>
      </c>
      <c r="AA40" s="18">
        <v>5987067065</v>
      </c>
      <c r="AB40" s="19">
        <f t="shared" si="7"/>
        <v>0</v>
      </c>
      <c r="AC40" s="19">
        <f t="shared" si="8"/>
        <v>3903665130</v>
      </c>
      <c r="AD40" s="19">
        <f t="shared" si="9"/>
        <v>29935335325.333332</v>
      </c>
      <c r="AE40" s="75">
        <v>119741341</v>
      </c>
      <c r="AF40" s="17">
        <v>0</v>
      </c>
      <c r="AG40" s="17"/>
      <c r="AH40" s="18">
        <f>VLOOKUP(A40,Hoja3!$B$3:$E$35,4,0)</f>
        <v>6295570867</v>
      </c>
      <c r="AI40" s="18"/>
      <c r="AJ40" s="19">
        <f t="shared" si="10"/>
        <v>0</v>
      </c>
      <c r="AK40" s="19">
        <f t="shared" si="11"/>
        <v>3903665130</v>
      </c>
      <c r="AL40" s="19">
        <f t="shared" si="12"/>
        <v>36230906192.33333</v>
      </c>
      <c r="AM40" s="19">
        <f t="shared" si="13"/>
        <v>119741341</v>
      </c>
    </row>
    <row r="41" spans="1:39" ht="12.75">
      <c r="A41" s="14">
        <v>8919008530</v>
      </c>
      <c r="B41" s="14">
        <v>891900853</v>
      </c>
      <c r="C41" s="14">
        <v>124876000</v>
      </c>
      <c r="D41" s="15" t="s">
        <v>72</v>
      </c>
      <c r="E41" s="16" t="s">
        <v>73</v>
      </c>
      <c r="F41" s="17">
        <v>0</v>
      </c>
      <c r="G41" s="17"/>
      <c r="H41" s="18">
        <v>118775967.26666667</v>
      </c>
      <c r="I41" s="17"/>
      <c r="J41" s="19">
        <f t="shared" si="0"/>
        <v>0</v>
      </c>
      <c r="K41" s="19">
        <f t="shared" si="0"/>
        <v>0</v>
      </c>
      <c r="L41" s="19">
        <f t="shared" si="0"/>
        <v>118775967.26666667</v>
      </c>
      <c r="M41" s="17">
        <v>0</v>
      </c>
      <c r="N41" s="17"/>
      <c r="O41" s="18">
        <v>237551936</v>
      </c>
      <c r="P41" s="19">
        <f t="shared" si="1"/>
        <v>0</v>
      </c>
      <c r="Q41" s="19">
        <f t="shared" si="2"/>
        <v>0</v>
      </c>
      <c r="R41" s="19">
        <f t="shared" si="3"/>
        <v>356327903.26666665</v>
      </c>
      <c r="S41" s="17">
        <v>0</v>
      </c>
      <c r="T41" s="17"/>
      <c r="U41" s="18">
        <v>118775968</v>
      </c>
      <c r="V41" s="19">
        <f t="shared" si="4"/>
        <v>0</v>
      </c>
      <c r="W41" s="19">
        <f t="shared" si="5"/>
        <v>0</v>
      </c>
      <c r="X41" s="19">
        <f t="shared" si="6"/>
        <v>475103871.26666665</v>
      </c>
      <c r="Y41" s="17">
        <v>0</v>
      </c>
      <c r="Z41" s="17">
        <v>0</v>
      </c>
      <c r="AA41" s="18">
        <v>118775968</v>
      </c>
      <c r="AB41" s="19">
        <f t="shared" si="7"/>
        <v>0</v>
      </c>
      <c r="AC41" s="19">
        <f t="shared" si="8"/>
        <v>0</v>
      </c>
      <c r="AD41" s="19">
        <f t="shared" si="9"/>
        <v>593879839.2666667</v>
      </c>
      <c r="AE41" s="75">
        <v>2375519</v>
      </c>
      <c r="AF41" s="17">
        <v>0</v>
      </c>
      <c r="AG41" s="17"/>
      <c r="AH41" s="18">
        <f>VLOOKUP(A41,Hoja3!$B$3:$E$35,4,0)</f>
        <v>118775968</v>
      </c>
      <c r="AI41" s="18"/>
      <c r="AJ41" s="19">
        <f t="shared" si="10"/>
        <v>0</v>
      </c>
      <c r="AK41" s="19">
        <f t="shared" si="11"/>
        <v>0</v>
      </c>
      <c r="AL41" s="19">
        <f t="shared" si="12"/>
        <v>712655807.2666667</v>
      </c>
      <c r="AM41" s="19">
        <f t="shared" si="13"/>
        <v>2375519</v>
      </c>
    </row>
    <row r="42" spans="1:39" ht="12.75">
      <c r="A42" s="14">
        <v>8920007573</v>
      </c>
      <c r="B42" s="14">
        <v>892000757</v>
      </c>
      <c r="C42" s="14">
        <v>28450000</v>
      </c>
      <c r="D42" s="15" t="s">
        <v>74</v>
      </c>
      <c r="E42" s="16" t="s">
        <v>75</v>
      </c>
      <c r="F42" s="17">
        <v>0</v>
      </c>
      <c r="G42" s="17"/>
      <c r="H42" s="18">
        <v>1428516765.6666667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1428516765.6666667</v>
      </c>
      <c r="M42" s="17">
        <v>0</v>
      </c>
      <c r="N42" s="17"/>
      <c r="O42" s="18">
        <v>2857033530</v>
      </c>
      <c r="P42" s="19">
        <f t="shared" si="1"/>
        <v>0</v>
      </c>
      <c r="Q42" s="19">
        <f t="shared" si="2"/>
        <v>0</v>
      </c>
      <c r="R42" s="19">
        <f t="shared" si="3"/>
        <v>4285550295.666667</v>
      </c>
      <c r="S42" s="17">
        <v>0</v>
      </c>
      <c r="T42" s="17"/>
      <c r="U42" s="18">
        <v>1428516765</v>
      </c>
      <c r="V42" s="19">
        <f t="shared" si="4"/>
        <v>0</v>
      </c>
      <c r="W42" s="19">
        <f t="shared" si="5"/>
        <v>0</v>
      </c>
      <c r="X42" s="19">
        <f t="shared" si="6"/>
        <v>5714067060.666667</v>
      </c>
      <c r="Y42" s="17">
        <v>0</v>
      </c>
      <c r="Z42" s="17">
        <v>1084402204</v>
      </c>
      <c r="AA42" s="18">
        <v>1428516765</v>
      </c>
      <c r="AB42" s="19">
        <f t="shared" si="7"/>
        <v>0</v>
      </c>
      <c r="AC42" s="19">
        <f t="shared" si="8"/>
        <v>1084402204</v>
      </c>
      <c r="AD42" s="19">
        <f t="shared" si="9"/>
        <v>7142583825.666667</v>
      </c>
      <c r="AE42" s="75">
        <v>33100486</v>
      </c>
      <c r="AF42" s="17">
        <v>0</v>
      </c>
      <c r="AG42" s="17"/>
      <c r="AH42" s="18">
        <f>VLOOKUP(A42,Hoja3!$B$3:$E$35,4,0)</f>
        <v>1769789164</v>
      </c>
      <c r="AI42" s="18"/>
      <c r="AJ42" s="19">
        <f t="shared" si="10"/>
        <v>0</v>
      </c>
      <c r="AK42" s="19">
        <f t="shared" si="11"/>
        <v>1084402204</v>
      </c>
      <c r="AL42" s="19">
        <f t="shared" si="12"/>
        <v>8912372989.666668</v>
      </c>
      <c r="AM42" s="19">
        <f t="shared" si="13"/>
        <v>33100486</v>
      </c>
    </row>
    <row r="43" spans="1:39" ht="12.75">
      <c r="A43" s="14">
        <v>8921150294</v>
      </c>
      <c r="B43" s="14">
        <v>892115029</v>
      </c>
      <c r="C43" s="14">
        <v>129444000</v>
      </c>
      <c r="D43" s="15" t="s">
        <v>76</v>
      </c>
      <c r="E43" s="16" t="s">
        <v>77</v>
      </c>
      <c r="F43" s="17">
        <v>0</v>
      </c>
      <c r="G43" s="17"/>
      <c r="H43" s="18">
        <v>1058188233.8666667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1058188233.8666667</v>
      </c>
      <c r="M43" s="17">
        <v>0</v>
      </c>
      <c r="N43" s="17"/>
      <c r="O43" s="18">
        <v>2116376468</v>
      </c>
      <c r="P43" s="19">
        <f t="shared" si="1"/>
        <v>0</v>
      </c>
      <c r="Q43" s="19">
        <f t="shared" si="2"/>
        <v>0</v>
      </c>
      <c r="R43" s="19">
        <f t="shared" si="3"/>
        <v>3174564701.866667</v>
      </c>
      <c r="S43" s="17">
        <v>0</v>
      </c>
      <c r="T43" s="17"/>
      <c r="U43" s="18">
        <v>1058188234</v>
      </c>
      <c r="V43" s="19">
        <f t="shared" si="4"/>
        <v>0</v>
      </c>
      <c r="W43" s="19">
        <f t="shared" si="5"/>
        <v>0</v>
      </c>
      <c r="X43" s="19">
        <f t="shared" si="6"/>
        <v>4232752935.866667</v>
      </c>
      <c r="Y43" s="17">
        <v>0</v>
      </c>
      <c r="Z43" s="17">
        <v>0</v>
      </c>
      <c r="AA43" s="18">
        <v>1058188234</v>
      </c>
      <c r="AB43" s="19">
        <f t="shared" si="7"/>
        <v>0</v>
      </c>
      <c r="AC43" s="19">
        <f t="shared" si="8"/>
        <v>0</v>
      </c>
      <c r="AD43" s="19">
        <f t="shared" si="9"/>
        <v>5290941169.866667</v>
      </c>
      <c r="AE43" s="75">
        <v>24521747</v>
      </c>
      <c r="AF43" s="17">
        <v>0</v>
      </c>
      <c r="AG43" s="17"/>
      <c r="AH43" s="18">
        <f>VLOOKUP(A43,Hoja3!$B$3:$E$35,4,0)</f>
        <v>1311156931</v>
      </c>
      <c r="AI43" s="18"/>
      <c r="AJ43" s="19">
        <f t="shared" si="10"/>
        <v>0</v>
      </c>
      <c r="AK43" s="19">
        <f t="shared" si="11"/>
        <v>0</v>
      </c>
      <c r="AL43" s="19">
        <f t="shared" si="12"/>
        <v>6602098100.866667</v>
      </c>
      <c r="AM43" s="19">
        <f t="shared" si="13"/>
        <v>24521747</v>
      </c>
    </row>
    <row r="44" spans="1:39" ht="12.75">
      <c r="A44" s="14">
        <v>8922003239</v>
      </c>
      <c r="B44" s="14">
        <v>892200323</v>
      </c>
      <c r="C44" s="14">
        <v>128870000</v>
      </c>
      <c r="D44" s="15" t="s">
        <v>78</v>
      </c>
      <c r="E44" s="16" t="s">
        <v>79</v>
      </c>
      <c r="F44" s="17">
        <v>0</v>
      </c>
      <c r="G44" s="17"/>
      <c r="H44" s="18">
        <v>990421501.6666666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990421501.6666666</v>
      </c>
      <c r="M44" s="17">
        <v>0</v>
      </c>
      <c r="N44" s="17"/>
      <c r="O44" s="18">
        <v>1980843004</v>
      </c>
      <c r="P44" s="19">
        <f t="shared" si="1"/>
        <v>0</v>
      </c>
      <c r="Q44" s="19">
        <f t="shared" si="2"/>
        <v>0</v>
      </c>
      <c r="R44" s="19">
        <f t="shared" si="3"/>
        <v>2971264505.6666665</v>
      </c>
      <c r="S44" s="17">
        <v>0</v>
      </c>
      <c r="T44" s="17"/>
      <c r="U44" s="18">
        <v>990421502</v>
      </c>
      <c r="V44" s="19">
        <f t="shared" si="4"/>
        <v>0</v>
      </c>
      <c r="W44" s="19">
        <f t="shared" si="5"/>
        <v>0</v>
      </c>
      <c r="X44" s="19">
        <f t="shared" si="6"/>
        <v>3961686007.6666665</v>
      </c>
      <c r="Y44" s="17">
        <v>0</v>
      </c>
      <c r="Z44" s="17">
        <v>0</v>
      </c>
      <c r="AA44" s="18">
        <v>990421502</v>
      </c>
      <c r="AB44" s="19">
        <f t="shared" si="7"/>
        <v>0</v>
      </c>
      <c r="AC44" s="19">
        <f t="shared" si="8"/>
        <v>0</v>
      </c>
      <c r="AD44" s="19">
        <f t="shared" si="9"/>
        <v>4952107509.666666</v>
      </c>
      <c r="AE44" s="75">
        <v>23661270</v>
      </c>
      <c r="AF44" s="17">
        <v>0</v>
      </c>
      <c r="AG44" s="17"/>
      <c r="AH44" s="18">
        <f>VLOOKUP(A44,Hoja3!$B$3:$E$35,4,0)</f>
        <v>1280669601</v>
      </c>
      <c r="AI44" s="18"/>
      <c r="AJ44" s="19">
        <f t="shared" si="10"/>
        <v>0</v>
      </c>
      <c r="AK44" s="19">
        <f t="shared" si="11"/>
        <v>0</v>
      </c>
      <c r="AL44" s="19">
        <f t="shared" si="12"/>
        <v>6232777110.666666</v>
      </c>
      <c r="AM44" s="19">
        <f t="shared" si="13"/>
        <v>23661270</v>
      </c>
    </row>
    <row r="45" spans="1:39" ht="12.75">
      <c r="A45" s="14">
        <v>8923002856</v>
      </c>
      <c r="B45" s="14">
        <v>892300285</v>
      </c>
      <c r="C45" s="14">
        <v>821920000</v>
      </c>
      <c r="D45" s="15" t="s">
        <v>80</v>
      </c>
      <c r="E45" s="16" t="s">
        <v>81</v>
      </c>
      <c r="F45" s="17">
        <v>0</v>
      </c>
      <c r="G45" s="17"/>
      <c r="H45" s="18">
        <v>1376653679.4666667</v>
      </c>
      <c r="I45" s="17"/>
      <c r="J45" s="19">
        <f t="shared" si="0"/>
        <v>0</v>
      </c>
      <c r="K45" s="19">
        <f t="shared" si="0"/>
        <v>0</v>
      </c>
      <c r="L45" s="19">
        <f t="shared" si="0"/>
        <v>1376653679.4666667</v>
      </c>
      <c r="M45" s="17">
        <v>0</v>
      </c>
      <c r="N45" s="17"/>
      <c r="O45" s="18">
        <v>2753307360</v>
      </c>
      <c r="P45" s="19">
        <f t="shared" si="1"/>
        <v>0</v>
      </c>
      <c r="Q45" s="19">
        <f t="shared" si="2"/>
        <v>0</v>
      </c>
      <c r="R45" s="19">
        <f t="shared" si="3"/>
        <v>4129961039.4666667</v>
      </c>
      <c r="S45" s="17">
        <v>0</v>
      </c>
      <c r="T45" s="17"/>
      <c r="U45" s="18">
        <v>1376653680</v>
      </c>
      <c r="V45" s="19">
        <f t="shared" si="4"/>
        <v>0</v>
      </c>
      <c r="W45" s="19">
        <f t="shared" si="5"/>
        <v>0</v>
      </c>
      <c r="X45" s="19">
        <f t="shared" si="6"/>
        <v>5506614719.466667</v>
      </c>
      <c r="Y45" s="17">
        <v>0</v>
      </c>
      <c r="Z45" s="17">
        <v>769912858</v>
      </c>
      <c r="AA45" s="18">
        <v>1376653680</v>
      </c>
      <c r="AB45" s="19">
        <f t="shared" si="7"/>
        <v>0</v>
      </c>
      <c r="AC45" s="19">
        <f t="shared" si="8"/>
        <v>769912858</v>
      </c>
      <c r="AD45" s="19">
        <f t="shared" si="9"/>
        <v>6883268399.466667</v>
      </c>
      <c r="AE45" s="75">
        <v>30733674</v>
      </c>
      <c r="AF45" s="17">
        <v>0</v>
      </c>
      <c r="AG45" s="17"/>
      <c r="AH45" s="18">
        <f>VLOOKUP(A45,Hoja3!$B$3:$E$35,4,0)</f>
        <v>1617766221</v>
      </c>
      <c r="AI45" s="18"/>
      <c r="AJ45" s="19">
        <f t="shared" si="10"/>
        <v>0</v>
      </c>
      <c r="AK45" s="19">
        <f t="shared" si="11"/>
        <v>769912858</v>
      </c>
      <c r="AL45" s="19">
        <f t="shared" si="12"/>
        <v>8501034620.466667</v>
      </c>
      <c r="AM45" s="19">
        <f t="shared" si="13"/>
        <v>30733674</v>
      </c>
    </row>
    <row r="46" spans="1:39" s="26" customFormat="1" ht="15">
      <c r="A46" s="21">
        <v>8999990633</v>
      </c>
      <c r="B46" s="14">
        <v>899999063</v>
      </c>
      <c r="C46" s="21">
        <v>27400000</v>
      </c>
      <c r="D46" s="24" t="s">
        <v>82</v>
      </c>
      <c r="E46" s="25" t="s">
        <v>83</v>
      </c>
      <c r="F46" s="17">
        <v>10265689102</v>
      </c>
      <c r="G46" s="17"/>
      <c r="H46" s="18">
        <v>31948198810.066666</v>
      </c>
      <c r="I46" s="17"/>
      <c r="J46" s="19">
        <f t="shared" si="0"/>
        <v>10265689102</v>
      </c>
      <c r="K46" s="19">
        <f t="shared" si="0"/>
        <v>0</v>
      </c>
      <c r="L46" s="19">
        <f t="shared" si="0"/>
        <v>31948198810.066666</v>
      </c>
      <c r="M46" s="17">
        <v>10265689102</v>
      </c>
      <c r="N46" s="17"/>
      <c r="O46" s="18">
        <v>63896397620</v>
      </c>
      <c r="P46" s="19">
        <f t="shared" si="1"/>
        <v>20531378204</v>
      </c>
      <c r="Q46" s="19">
        <f t="shared" si="2"/>
        <v>0</v>
      </c>
      <c r="R46" s="19">
        <f t="shared" si="3"/>
        <v>95844596430.06667</v>
      </c>
      <c r="S46" s="17">
        <v>10265689102</v>
      </c>
      <c r="T46" s="17"/>
      <c r="U46" s="18">
        <v>31948198810</v>
      </c>
      <c r="V46" s="19">
        <f t="shared" si="4"/>
        <v>30797067306</v>
      </c>
      <c r="W46" s="19">
        <f t="shared" si="5"/>
        <v>0</v>
      </c>
      <c r="X46" s="19">
        <f t="shared" si="6"/>
        <v>127792795240.06667</v>
      </c>
      <c r="Y46" s="17">
        <v>10265689102</v>
      </c>
      <c r="Z46" s="17">
        <v>37817633866</v>
      </c>
      <c r="AA46" s="18">
        <v>31948198810</v>
      </c>
      <c r="AB46" s="19">
        <f t="shared" si="7"/>
        <v>41062756408</v>
      </c>
      <c r="AC46" s="19">
        <f t="shared" si="8"/>
        <v>37817633866</v>
      </c>
      <c r="AD46" s="19">
        <f t="shared" si="9"/>
        <v>159740994050.06665</v>
      </c>
      <c r="AE46" s="75">
        <v>844277758</v>
      </c>
      <c r="AF46" s="17">
        <f>VLOOKUP(A46,Hoja3!$B$54:$C$59,2,0)</f>
        <v>10265689102</v>
      </c>
      <c r="AG46" s="17"/>
      <c r="AH46" s="18">
        <f>VLOOKUP(A46,Hoja3!$B$3:$E$35,4,0)</f>
        <v>32369500691</v>
      </c>
      <c r="AI46" s="18"/>
      <c r="AJ46" s="19">
        <f t="shared" si="10"/>
        <v>51328445510</v>
      </c>
      <c r="AK46" s="19">
        <f t="shared" si="11"/>
        <v>37817633866</v>
      </c>
      <c r="AL46" s="19">
        <f t="shared" si="12"/>
        <v>192110494741.06665</v>
      </c>
      <c r="AM46" s="19">
        <f t="shared" si="13"/>
        <v>844277758</v>
      </c>
    </row>
    <row r="47" spans="1:39" ht="12.75">
      <c r="A47" s="14">
        <v>8999991244</v>
      </c>
      <c r="B47" s="14">
        <v>899999124</v>
      </c>
      <c r="C47" s="14">
        <v>27500000</v>
      </c>
      <c r="D47" s="15" t="s">
        <v>84</v>
      </c>
      <c r="E47" s="16" t="s">
        <v>85</v>
      </c>
      <c r="F47" s="17">
        <v>0</v>
      </c>
      <c r="G47" s="17"/>
      <c r="H47" s="18">
        <v>3155181017.2</v>
      </c>
      <c r="I47" s="17"/>
      <c r="J47" s="19">
        <f t="shared" si="0"/>
        <v>0</v>
      </c>
      <c r="K47" s="19">
        <f t="shared" si="0"/>
        <v>0</v>
      </c>
      <c r="L47" s="19">
        <f t="shared" si="0"/>
        <v>3155181017.2</v>
      </c>
      <c r="M47" s="17">
        <v>0</v>
      </c>
      <c r="N47" s="17"/>
      <c r="O47" s="18">
        <v>6310362034</v>
      </c>
      <c r="P47" s="19">
        <f t="shared" si="1"/>
        <v>0</v>
      </c>
      <c r="Q47" s="19">
        <f t="shared" si="2"/>
        <v>0</v>
      </c>
      <c r="R47" s="19">
        <f t="shared" si="3"/>
        <v>9465543051.2</v>
      </c>
      <c r="S47" s="17">
        <v>0</v>
      </c>
      <c r="T47" s="17"/>
      <c r="U47" s="18">
        <v>3155181017</v>
      </c>
      <c r="V47" s="19">
        <f t="shared" si="4"/>
        <v>0</v>
      </c>
      <c r="W47" s="19">
        <f t="shared" si="5"/>
        <v>0</v>
      </c>
      <c r="X47" s="19">
        <f t="shared" si="6"/>
        <v>12620724068.2</v>
      </c>
      <c r="Y47" s="17">
        <v>0</v>
      </c>
      <c r="Z47" s="17">
        <v>1914964420</v>
      </c>
      <c r="AA47" s="18">
        <v>3155181017</v>
      </c>
      <c r="AB47" s="19">
        <f t="shared" si="7"/>
        <v>0</v>
      </c>
      <c r="AC47" s="19">
        <f t="shared" si="8"/>
        <v>1914964420</v>
      </c>
      <c r="AD47" s="19">
        <f t="shared" si="9"/>
        <v>15775905085.2</v>
      </c>
      <c r="AE47" s="75">
        <v>63103620</v>
      </c>
      <c r="AF47" s="17">
        <v>0</v>
      </c>
      <c r="AG47" s="17"/>
      <c r="AH47" s="18">
        <f>VLOOKUP(A47,Hoja3!$B$3:$E$35,4,0)</f>
        <v>3484103244</v>
      </c>
      <c r="AI47" s="18"/>
      <c r="AJ47" s="19">
        <f t="shared" si="10"/>
        <v>0</v>
      </c>
      <c r="AK47" s="19">
        <f t="shared" si="11"/>
        <v>1914964420</v>
      </c>
      <c r="AL47" s="19">
        <f t="shared" si="12"/>
        <v>19260008329.2</v>
      </c>
      <c r="AM47" s="19">
        <f t="shared" si="13"/>
        <v>63103620</v>
      </c>
    </row>
    <row r="48" spans="1:39" ht="12.75">
      <c r="A48" s="14">
        <v>8999992307</v>
      </c>
      <c r="B48" s="14">
        <v>899999230</v>
      </c>
      <c r="C48" s="14">
        <v>222711001</v>
      </c>
      <c r="D48" s="15" t="s">
        <v>86</v>
      </c>
      <c r="E48" s="16" t="s">
        <v>87</v>
      </c>
      <c r="F48" s="17">
        <v>0</v>
      </c>
      <c r="G48" s="17"/>
      <c r="H48" s="18">
        <v>890115764.0666666</v>
      </c>
      <c r="I48" s="17"/>
      <c r="J48" s="19">
        <f t="shared" si="0"/>
        <v>0</v>
      </c>
      <c r="K48" s="19">
        <f t="shared" si="0"/>
        <v>0</v>
      </c>
      <c r="L48" s="19">
        <f t="shared" si="0"/>
        <v>890115764.0666666</v>
      </c>
      <c r="M48" s="17">
        <v>0</v>
      </c>
      <c r="N48" s="17"/>
      <c r="O48" s="18">
        <v>1780231530</v>
      </c>
      <c r="P48" s="19">
        <f t="shared" si="1"/>
        <v>0</v>
      </c>
      <c r="Q48" s="19">
        <f t="shared" si="2"/>
        <v>0</v>
      </c>
      <c r="R48" s="19">
        <f t="shared" si="3"/>
        <v>2670347294.0666666</v>
      </c>
      <c r="S48" s="17">
        <v>0</v>
      </c>
      <c r="T48" s="17"/>
      <c r="U48" s="18">
        <v>890115765</v>
      </c>
      <c r="V48" s="19">
        <f t="shared" si="4"/>
        <v>0</v>
      </c>
      <c r="W48" s="19">
        <f t="shared" si="5"/>
        <v>0</v>
      </c>
      <c r="X48" s="19">
        <f t="shared" si="6"/>
        <v>3560463059.0666666</v>
      </c>
      <c r="Y48" s="17">
        <v>0</v>
      </c>
      <c r="Z48" s="17">
        <v>0</v>
      </c>
      <c r="AA48" s="18">
        <v>890115765</v>
      </c>
      <c r="AB48" s="19">
        <f t="shared" si="7"/>
        <v>0</v>
      </c>
      <c r="AC48" s="19">
        <f t="shared" si="8"/>
        <v>0</v>
      </c>
      <c r="AD48" s="19">
        <f t="shared" si="9"/>
        <v>4450578824.066667</v>
      </c>
      <c r="AE48" s="75">
        <v>17802315</v>
      </c>
      <c r="AF48" s="17">
        <v>0</v>
      </c>
      <c r="AG48" s="17"/>
      <c r="AH48" s="18">
        <f>VLOOKUP(A48,Hoja3!$B$3:$E$35,4,0)</f>
        <v>1141652682</v>
      </c>
      <c r="AI48" s="18"/>
      <c r="AJ48" s="19">
        <f t="shared" si="10"/>
        <v>0</v>
      </c>
      <c r="AK48" s="19">
        <f t="shared" si="11"/>
        <v>0</v>
      </c>
      <c r="AL48" s="19">
        <f t="shared" si="12"/>
        <v>5592231506.066667</v>
      </c>
      <c r="AM48" s="19">
        <f t="shared" si="13"/>
        <v>17802315</v>
      </c>
    </row>
    <row r="49" spans="1:39" ht="12.75">
      <c r="A49" s="14">
        <v>8020110655</v>
      </c>
      <c r="B49" s="14">
        <v>802011065</v>
      </c>
      <c r="C49" s="14">
        <v>64500000</v>
      </c>
      <c r="D49" s="15" t="s">
        <v>88</v>
      </c>
      <c r="E49" s="16" t="s">
        <v>89</v>
      </c>
      <c r="F49" s="17">
        <v>0</v>
      </c>
      <c r="G49" s="17"/>
      <c r="H49" s="18">
        <v>167905996</v>
      </c>
      <c r="I49" s="17"/>
      <c r="J49" s="19">
        <f t="shared" si="0"/>
        <v>0</v>
      </c>
      <c r="K49" s="19">
        <f t="shared" si="0"/>
        <v>0</v>
      </c>
      <c r="L49" s="19">
        <f t="shared" si="0"/>
        <v>167905996</v>
      </c>
      <c r="M49" s="17">
        <v>0</v>
      </c>
      <c r="N49" s="17"/>
      <c r="O49" s="18">
        <v>167905996</v>
      </c>
      <c r="P49" s="19">
        <f t="shared" si="1"/>
        <v>0</v>
      </c>
      <c r="Q49" s="19">
        <f t="shared" si="2"/>
        <v>0</v>
      </c>
      <c r="R49" s="19">
        <f t="shared" si="3"/>
        <v>335811992</v>
      </c>
      <c r="S49" s="17">
        <v>0</v>
      </c>
      <c r="T49" s="17"/>
      <c r="U49" s="18">
        <v>167905996</v>
      </c>
      <c r="V49" s="19">
        <f t="shared" si="4"/>
        <v>0</v>
      </c>
      <c r="W49" s="19">
        <f t="shared" si="5"/>
        <v>0</v>
      </c>
      <c r="X49" s="19">
        <f t="shared" si="6"/>
        <v>503717988</v>
      </c>
      <c r="Y49" s="17">
        <v>0</v>
      </c>
      <c r="Z49" s="17">
        <v>0</v>
      </c>
      <c r="AA49" s="18">
        <v>167905996</v>
      </c>
      <c r="AB49" s="19">
        <f t="shared" si="7"/>
        <v>0</v>
      </c>
      <c r="AC49" s="19">
        <f t="shared" si="8"/>
        <v>0</v>
      </c>
      <c r="AD49" s="19">
        <f t="shared" si="9"/>
        <v>671623984</v>
      </c>
      <c r="AE49" s="75">
        <v>3358120</v>
      </c>
      <c r="AF49" s="17">
        <v>0</v>
      </c>
      <c r="AG49" s="17"/>
      <c r="AH49" s="18">
        <f>VLOOKUP(A49,Hoja3!$B$37:$C$50,2,0)</f>
        <v>167905996</v>
      </c>
      <c r="AI49" s="18"/>
      <c r="AJ49" s="19">
        <f t="shared" si="10"/>
        <v>0</v>
      </c>
      <c r="AK49" s="19">
        <f t="shared" si="11"/>
        <v>0</v>
      </c>
      <c r="AL49" s="19">
        <f t="shared" si="12"/>
        <v>839529980</v>
      </c>
      <c r="AM49" s="19">
        <f t="shared" si="13"/>
        <v>3358120</v>
      </c>
    </row>
    <row r="50" spans="1:39" ht="12.75">
      <c r="A50" s="14">
        <v>8904800545</v>
      </c>
      <c r="B50" s="14">
        <v>890480054</v>
      </c>
      <c r="C50" s="14">
        <v>824613000</v>
      </c>
      <c r="D50" s="15" t="s">
        <v>90</v>
      </c>
      <c r="E50" s="16" t="s">
        <v>91</v>
      </c>
      <c r="F50" s="17">
        <v>0</v>
      </c>
      <c r="G50" s="17"/>
      <c r="H50" s="18">
        <v>207704043</v>
      </c>
      <c r="I50" s="17"/>
      <c r="J50" s="19">
        <f t="shared" si="0"/>
        <v>0</v>
      </c>
      <c r="K50" s="19">
        <f t="shared" si="0"/>
        <v>0</v>
      </c>
      <c r="L50" s="19">
        <f t="shared" si="0"/>
        <v>207704043</v>
      </c>
      <c r="M50" s="17">
        <v>0</v>
      </c>
      <c r="N50" s="17"/>
      <c r="O50" s="18">
        <v>207704043</v>
      </c>
      <c r="P50" s="19">
        <f t="shared" si="1"/>
        <v>0</v>
      </c>
      <c r="Q50" s="19">
        <f t="shared" si="2"/>
        <v>0</v>
      </c>
      <c r="R50" s="19">
        <f t="shared" si="3"/>
        <v>415408086</v>
      </c>
      <c r="S50" s="17">
        <v>0</v>
      </c>
      <c r="T50" s="17"/>
      <c r="U50" s="18">
        <v>207704043</v>
      </c>
      <c r="V50" s="19">
        <f t="shared" si="4"/>
        <v>0</v>
      </c>
      <c r="W50" s="19">
        <f t="shared" si="5"/>
        <v>0</v>
      </c>
      <c r="X50" s="19">
        <f t="shared" si="6"/>
        <v>623112129</v>
      </c>
      <c r="Y50" s="17">
        <v>0</v>
      </c>
      <c r="Z50" s="17">
        <v>0</v>
      </c>
      <c r="AA50" s="18">
        <v>207704043</v>
      </c>
      <c r="AB50" s="19">
        <f t="shared" si="7"/>
        <v>0</v>
      </c>
      <c r="AC50" s="19">
        <f t="shared" si="8"/>
        <v>0</v>
      </c>
      <c r="AD50" s="19">
        <f t="shared" si="9"/>
        <v>830816172</v>
      </c>
      <c r="AE50" s="75">
        <v>4154081</v>
      </c>
      <c r="AF50" s="17">
        <v>0</v>
      </c>
      <c r="AG50" s="17"/>
      <c r="AH50" s="18">
        <f>VLOOKUP(A50,Hoja3!$B$37:$C$50,2,0)</f>
        <v>207704043</v>
      </c>
      <c r="AI50" s="18"/>
      <c r="AJ50" s="19">
        <f t="shared" si="10"/>
        <v>0</v>
      </c>
      <c r="AK50" s="19">
        <f t="shared" si="11"/>
        <v>0</v>
      </c>
      <c r="AL50" s="19">
        <f t="shared" si="12"/>
        <v>1038520215</v>
      </c>
      <c r="AM50" s="19">
        <f t="shared" si="13"/>
        <v>4154081</v>
      </c>
    </row>
    <row r="51" spans="1:39" ht="12.75">
      <c r="A51" s="14">
        <v>8909801531</v>
      </c>
      <c r="B51" s="14">
        <v>890980153</v>
      </c>
      <c r="C51" s="14">
        <v>821505000</v>
      </c>
      <c r="D51" s="15" t="s">
        <v>92</v>
      </c>
      <c r="E51" s="16" t="s">
        <v>93</v>
      </c>
      <c r="F51" s="17">
        <v>0</v>
      </c>
      <c r="G51" s="17"/>
      <c r="H51" s="18">
        <v>494392467</v>
      </c>
      <c r="I51" s="17"/>
      <c r="J51" s="19">
        <f t="shared" si="0"/>
        <v>0</v>
      </c>
      <c r="K51" s="19">
        <f t="shared" si="0"/>
        <v>0</v>
      </c>
      <c r="L51" s="19">
        <f t="shared" si="0"/>
        <v>494392467</v>
      </c>
      <c r="M51" s="17">
        <v>0</v>
      </c>
      <c r="N51" s="17"/>
      <c r="O51" s="18">
        <v>494392467</v>
      </c>
      <c r="P51" s="19">
        <f t="shared" si="1"/>
        <v>0</v>
      </c>
      <c r="Q51" s="19">
        <f t="shared" si="2"/>
        <v>0</v>
      </c>
      <c r="R51" s="19">
        <f t="shared" si="3"/>
        <v>988784934</v>
      </c>
      <c r="S51" s="17">
        <v>0</v>
      </c>
      <c r="T51" s="17"/>
      <c r="U51" s="18">
        <v>494392467</v>
      </c>
      <c r="V51" s="19">
        <f t="shared" si="4"/>
        <v>0</v>
      </c>
      <c r="W51" s="19">
        <f t="shared" si="5"/>
        <v>0</v>
      </c>
      <c r="X51" s="19">
        <f t="shared" si="6"/>
        <v>1483177401</v>
      </c>
      <c r="Y51" s="17">
        <v>0</v>
      </c>
      <c r="Z51" s="17">
        <v>0</v>
      </c>
      <c r="AA51" s="18">
        <v>494392467</v>
      </c>
      <c r="AB51" s="19">
        <f t="shared" si="7"/>
        <v>0</v>
      </c>
      <c r="AC51" s="19">
        <f t="shared" si="8"/>
        <v>0</v>
      </c>
      <c r="AD51" s="19">
        <f t="shared" si="9"/>
        <v>1977569868</v>
      </c>
      <c r="AE51" s="75">
        <v>9887849</v>
      </c>
      <c r="AF51" s="17">
        <v>0</v>
      </c>
      <c r="AG51" s="17"/>
      <c r="AH51" s="18">
        <f>VLOOKUP(A51,Hoja3!$B$37:$C$50,2,0)</f>
        <v>494392467</v>
      </c>
      <c r="AI51" s="18"/>
      <c r="AJ51" s="19">
        <f t="shared" si="10"/>
        <v>0</v>
      </c>
      <c r="AK51" s="19">
        <f t="shared" si="11"/>
        <v>0</v>
      </c>
      <c r="AL51" s="19">
        <f t="shared" si="12"/>
        <v>2471962335</v>
      </c>
      <c r="AM51" s="19">
        <f t="shared" si="13"/>
        <v>9887849</v>
      </c>
    </row>
    <row r="52" spans="1:39" ht="12.75">
      <c r="A52" s="27">
        <v>8909801121</v>
      </c>
      <c r="B52" s="14">
        <v>890980112</v>
      </c>
      <c r="C52" s="27">
        <v>218805088</v>
      </c>
      <c r="D52" s="28" t="s">
        <v>94</v>
      </c>
      <c r="E52" s="16" t="s">
        <v>95</v>
      </c>
      <c r="F52" s="17">
        <v>0</v>
      </c>
      <c r="G52" s="17"/>
      <c r="H52" s="18">
        <v>0</v>
      </c>
      <c r="I52" s="17"/>
      <c r="J52" s="19">
        <f t="shared" si="0"/>
        <v>0</v>
      </c>
      <c r="K52" s="19">
        <f t="shared" si="0"/>
        <v>0</v>
      </c>
      <c r="L52" s="19">
        <f t="shared" si="0"/>
        <v>0</v>
      </c>
      <c r="M52" s="17">
        <v>0</v>
      </c>
      <c r="N52" s="17"/>
      <c r="O52" s="18">
        <v>0</v>
      </c>
      <c r="P52" s="19">
        <f t="shared" si="1"/>
        <v>0</v>
      </c>
      <c r="Q52" s="19">
        <f t="shared" si="2"/>
        <v>0</v>
      </c>
      <c r="R52" s="19">
        <f t="shared" si="3"/>
        <v>0</v>
      </c>
      <c r="S52" s="17">
        <v>0</v>
      </c>
      <c r="T52" s="17"/>
      <c r="U52" s="18">
        <v>0</v>
      </c>
      <c r="V52" s="19">
        <f t="shared" si="4"/>
        <v>0</v>
      </c>
      <c r="W52" s="19">
        <f t="shared" si="5"/>
        <v>0</v>
      </c>
      <c r="X52" s="19">
        <f t="shared" si="6"/>
        <v>0</v>
      </c>
      <c r="Y52" s="17">
        <v>0</v>
      </c>
      <c r="Z52" s="17">
        <v>0</v>
      </c>
      <c r="AA52" s="18">
        <v>0</v>
      </c>
      <c r="AB52" s="19">
        <f t="shared" si="7"/>
        <v>0</v>
      </c>
      <c r="AC52" s="19">
        <f t="shared" si="8"/>
        <v>0</v>
      </c>
      <c r="AD52" s="19">
        <f t="shared" si="9"/>
        <v>0</v>
      </c>
      <c r="AE52" s="75">
        <v>0</v>
      </c>
      <c r="AF52" s="17">
        <v>0</v>
      </c>
      <c r="AG52" s="17"/>
      <c r="AH52" s="18">
        <v>0</v>
      </c>
      <c r="AI52" s="18"/>
      <c r="AJ52" s="19">
        <f t="shared" si="10"/>
        <v>0</v>
      </c>
      <c r="AK52" s="19">
        <f t="shared" si="11"/>
        <v>0</v>
      </c>
      <c r="AL52" s="19">
        <f t="shared" si="12"/>
        <v>0</v>
      </c>
      <c r="AM52" s="19">
        <f t="shared" si="13"/>
        <v>0</v>
      </c>
    </row>
    <row r="53" spans="1:39" ht="12.75">
      <c r="A53" s="30">
        <v>8905015784</v>
      </c>
      <c r="B53" s="14">
        <v>890501578</v>
      </c>
      <c r="C53" s="31"/>
      <c r="D53" s="32" t="s">
        <v>96</v>
      </c>
      <c r="E53" s="29"/>
      <c r="F53" s="17">
        <v>0</v>
      </c>
      <c r="G53" s="17"/>
      <c r="H53" s="18">
        <v>174590931</v>
      </c>
      <c r="I53" s="17"/>
      <c r="J53" s="19"/>
      <c r="K53" s="19"/>
      <c r="L53" s="19">
        <f>H53</f>
        <v>174590931</v>
      </c>
      <c r="M53" s="17">
        <v>0</v>
      </c>
      <c r="N53" s="17"/>
      <c r="O53" s="18">
        <v>174590931</v>
      </c>
      <c r="P53" s="19">
        <f t="shared" si="1"/>
        <v>0</v>
      </c>
      <c r="Q53" s="19">
        <f t="shared" si="2"/>
        <v>0</v>
      </c>
      <c r="R53" s="19">
        <f t="shared" si="3"/>
        <v>349181862</v>
      </c>
      <c r="S53" s="17">
        <v>0</v>
      </c>
      <c r="T53" s="17"/>
      <c r="U53" s="18">
        <v>174590931</v>
      </c>
      <c r="V53" s="19">
        <f t="shared" si="4"/>
        <v>0</v>
      </c>
      <c r="W53" s="19">
        <f t="shared" si="5"/>
        <v>0</v>
      </c>
      <c r="X53" s="19">
        <f t="shared" si="6"/>
        <v>523772793</v>
      </c>
      <c r="Y53" s="17">
        <v>0</v>
      </c>
      <c r="Z53" s="17">
        <v>0</v>
      </c>
      <c r="AA53" s="18">
        <v>174590931</v>
      </c>
      <c r="AB53" s="19">
        <f t="shared" si="7"/>
        <v>0</v>
      </c>
      <c r="AC53" s="19">
        <f t="shared" si="8"/>
        <v>0</v>
      </c>
      <c r="AD53" s="19">
        <f t="shared" si="9"/>
        <v>698363724</v>
      </c>
      <c r="AE53" s="75">
        <v>3491819</v>
      </c>
      <c r="AF53" s="17">
        <v>0</v>
      </c>
      <c r="AG53" s="17"/>
      <c r="AH53" s="18">
        <f>VLOOKUP(A53,Hoja3!$B$37:$C$50,2,0)</f>
        <v>174590931</v>
      </c>
      <c r="AI53" s="18"/>
      <c r="AJ53" s="19">
        <f t="shared" si="10"/>
        <v>0</v>
      </c>
      <c r="AK53" s="19">
        <f t="shared" si="11"/>
        <v>0</v>
      </c>
      <c r="AL53" s="19">
        <f t="shared" si="12"/>
        <v>872954655</v>
      </c>
      <c r="AM53" s="19">
        <f t="shared" si="13"/>
        <v>3491819</v>
      </c>
    </row>
    <row r="54" spans="1:39" ht="12.75">
      <c r="A54" s="30">
        <v>8919028110</v>
      </c>
      <c r="B54" s="14">
        <v>891902811</v>
      </c>
      <c r="C54" s="31"/>
      <c r="D54" s="32" t="s">
        <v>97</v>
      </c>
      <c r="E54" s="44" t="s">
        <v>106</v>
      </c>
      <c r="F54" s="17">
        <v>0</v>
      </c>
      <c r="G54" s="17"/>
      <c r="H54" s="18">
        <v>222657248</v>
      </c>
      <c r="I54" s="17"/>
      <c r="J54" s="19"/>
      <c r="K54" s="19"/>
      <c r="L54" s="19">
        <f>H54</f>
        <v>222657248</v>
      </c>
      <c r="M54" s="17">
        <v>0</v>
      </c>
      <c r="N54" s="17"/>
      <c r="O54" s="18">
        <v>222657248</v>
      </c>
      <c r="P54" s="19">
        <f t="shared" si="1"/>
        <v>0</v>
      </c>
      <c r="Q54" s="19">
        <f t="shared" si="2"/>
        <v>0</v>
      </c>
      <c r="R54" s="19">
        <f t="shared" si="3"/>
        <v>445314496</v>
      </c>
      <c r="S54" s="17">
        <v>0</v>
      </c>
      <c r="T54" s="17"/>
      <c r="U54" s="18">
        <v>222657248</v>
      </c>
      <c r="V54" s="19">
        <f t="shared" si="4"/>
        <v>0</v>
      </c>
      <c r="W54" s="19">
        <f t="shared" si="5"/>
        <v>0</v>
      </c>
      <c r="X54" s="19">
        <f t="shared" si="6"/>
        <v>667971744</v>
      </c>
      <c r="Y54" s="17">
        <v>0</v>
      </c>
      <c r="Z54" s="17">
        <v>0</v>
      </c>
      <c r="AA54" s="18">
        <v>222657248</v>
      </c>
      <c r="AB54" s="19">
        <f t="shared" si="7"/>
        <v>0</v>
      </c>
      <c r="AC54" s="19">
        <f t="shared" si="8"/>
        <v>0</v>
      </c>
      <c r="AD54" s="19">
        <f t="shared" si="9"/>
        <v>890628992</v>
      </c>
      <c r="AE54" s="75">
        <v>7130773.6</v>
      </c>
      <c r="AF54" s="17">
        <v>0</v>
      </c>
      <c r="AG54" s="17"/>
      <c r="AH54" s="18">
        <f>VLOOKUP(A54,Hoja3!$B$37:$C$50,2,0)</f>
        <v>222657248</v>
      </c>
      <c r="AI54" s="18"/>
      <c r="AJ54" s="19">
        <f t="shared" si="10"/>
        <v>0</v>
      </c>
      <c r="AK54" s="19">
        <f t="shared" si="11"/>
        <v>0</v>
      </c>
      <c r="AL54" s="19">
        <f t="shared" si="12"/>
        <v>1113286240</v>
      </c>
      <c r="AM54" s="19">
        <f t="shared" si="13"/>
        <v>7130773.6</v>
      </c>
    </row>
    <row r="55" spans="1:39" ht="24" customHeight="1">
      <c r="A55" s="33" t="s">
        <v>98</v>
      </c>
      <c r="B55" s="69"/>
      <c r="C55" s="34"/>
      <c r="D55" s="35"/>
      <c r="E55" s="36"/>
      <c r="F55" s="37">
        <f>SUM(F4:F54)</f>
        <v>14415080358.066666</v>
      </c>
      <c r="G55" s="37">
        <f>SUM(G4:G54)</f>
        <v>0</v>
      </c>
      <c r="H55" s="37">
        <f>SUM(H4:H54)</f>
        <v>134547041593.86665</v>
      </c>
      <c r="I55" s="38">
        <v>0</v>
      </c>
      <c r="J55" s="38">
        <f>SUM(J4:J52)</f>
        <v>14415080358.066666</v>
      </c>
      <c r="K55" s="38">
        <f>SUM(K4:K52)</f>
        <v>0</v>
      </c>
      <c r="L55" s="38">
        <f>SUM(L4:L54)</f>
        <v>134547041593.86665</v>
      </c>
      <c r="M55" s="37">
        <f>SUM(M4:M54)</f>
        <v>14415080358</v>
      </c>
      <c r="N55" s="37">
        <f>SUM(N4:N54)</f>
        <v>0</v>
      </c>
      <c r="O55" s="37">
        <f>SUM(O4:O54)</f>
        <v>266187906239</v>
      </c>
      <c r="P55" s="38">
        <f>SUM(P4:P52)</f>
        <v>28830160716.066666</v>
      </c>
      <c r="Q55" s="38">
        <f>SUM(Q4:Q52)</f>
        <v>0</v>
      </c>
      <c r="R55" s="38">
        <f>SUM(R4:R54)</f>
        <v>400734947832.8667</v>
      </c>
      <c r="S55" s="37">
        <f>SUM(S4:S54)</f>
        <v>14415084722</v>
      </c>
      <c r="T55" s="37">
        <f>SUM(T4:T54)</f>
        <v>0</v>
      </c>
      <c r="U55" s="37">
        <f>SUM(U4:U54)</f>
        <v>134547046593</v>
      </c>
      <c r="V55" s="38">
        <f>SUM(V4:V52)</f>
        <v>43245245438.066666</v>
      </c>
      <c r="W55" s="38">
        <f>SUM(W4:W52)</f>
        <v>0</v>
      </c>
      <c r="X55" s="38">
        <f>SUM(X4:X54)</f>
        <v>535281994425.8666</v>
      </c>
      <c r="Y55" s="37">
        <f>SUM(Y4:Y54)</f>
        <v>14415080358</v>
      </c>
      <c r="Z55" s="37">
        <f>SUM(Z4:Z54)</f>
        <v>60762945639</v>
      </c>
      <c r="AA55" s="37">
        <f>SUM(AA4:AA54)</f>
        <v>134547046593</v>
      </c>
      <c r="AB55" s="38">
        <f>SUM(AB4:AB52)</f>
        <v>57660325796.066666</v>
      </c>
      <c r="AC55" s="38">
        <f>SUM(AC4:AC52)</f>
        <v>60762945639</v>
      </c>
      <c r="AD55" s="38">
        <f>SUM(AD4:AD54)</f>
        <v>669829041018.8666</v>
      </c>
      <c r="AE55" s="38">
        <f>SUM(AE4:AE54)</f>
        <v>3030379955.3399997</v>
      </c>
      <c r="AF55" s="37">
        <f>SUM(AF4:AF54)</f>
        <v>14415080358</v>
      </c>
      <c r="AG55" s="37">
        <f>SUM(AG4:AG54)</f>
        <v>0</v>
      </c>
      <c r="AH55" s="37">
        <f>SUM(AH4:AH54)</f>
        <v>144877128612</v>
      </c>
      <c r="AI55" s="37"/>
      <c r="AJ55" s="38">
        <f>SUM(AJ4:AJ52)</f>
        <v>72075406154.06667</v>
      </c>
      <c r="AK55" s="38">
        <f>SUM(AK4:AK52)</f>
        <v>60762945639</v>
      </c>
      <c r="AL55" s="38">
        <f>SUM(AL4:AL54)</f>
        <v>814706169630.8665</v>
      </c>
      <c r="AM55" s="38">
        <f>SUM(AM4:AM54)</f>
        <v>3036119791.1</v>
      </c>
    </row>
    <row r="56" spans="8:12" ht="15">
      <c r="H56" s="40"/>
      <c r="J56" s="39"/>
      <c r="K56" s="39"/>
      <c r="L56" s="39"/>
    </row>
    <row r="57" spans="8:26" ht="15">
      <c r="H57" s="41" t="s">
        <v>99</v>
      </c>
      <c r="J57" s="42"/>
      <c r="K57" s="42"/>
      <c r="L57" s="42"/>
      <c r="Y57" s="76"/>
      <c r="Z57" s="77"/>
    </row>
    <row r="58" spans="8:39" ht="15" customHeight="1">
      <c r="H58" s="41" t="s">
        <v>99</v>
      </c>
      <c r="Y58" s="78"/>
      <c r="Z58" s="77"/>
      <c r="AE58" s="42"/>
      <c r="AM58" s="42"/>
    </row>
    <row r="59" spans="8:26" ht="15">
      <c r="H59" s="41" t="s">
        <v>99</v>
      </c>
      <c r="Y59" s="76"/>
      <c r="Z59" s="77"/>
    </row>
    <row r="60" spans="25:26" ht="15">
      <c r="Y60" s="77"/>
      <c r="Z60" s="77"/>
    </row>
  </sheetData>
  <sheetProtection/>
  <autoFilter ref="AF3:AI55"/>
  <mergeCells count="10">
    <mergeCell ref="F2:I2"/>
    <mergeCell ref="J2:L2"/>
    <mergeCell ref="M2:O2"/>
    <mergeCell ref="P2:R2"/>
    <mergeCell ref="S2:U2"/>
    <mergeCell ref="AB2:AE2"/>
    <mergeCell ref="AJ2:AM2"/>
    <mergeCell ref="V2:X2"/>
    <mergeCell ref="Y2:AA2"/>
    <mergeCell ref="AF2:AI2"/>
  </mergeCells>
  <hyperlinks>
    <hyperlink ref="E46" r:id="rId1" display="divnacc_nal@unal.edu.co"/>
    <hyperlink ref="E29" r:id="rId2" display="contabilidad@unicordoba.edu.co"/>
    <hyperlink ref="E8" r:id="rId3" display="contumng@umng.edu.co"/>
    <hyperlink ref="E7" r:id="rId4" display="direccion@ufpso.edu.co"/>
    <hyperlink ref="E22" r:id="rId5" display="jmlopez@ut.edu.co"/>
    <hyperlink ref="E6" r:id="rId6" display="ruthgarcia@unicolmayor.edu.co"/>
    <hyperlink ref="E34" r:id="rId7" display="wbenavides@unicauca.edu.co"/>
    <hyperlink ref="E54" r:id="rId8" display="finanzas@intep.edu.co; "/>
    <hyperlink ref="E40" r:id="rId9" display="malena.burgos@uptc.edu.co"/>
    <hyperlink ref="E17" r:id="rId10" display="alexacol@univalle.edu.co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6">
      <selection activeCell="C54" sqref="C54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2.710937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5.140625" style="0" bestFit="1" customWidth="1"/>
  </cols>
  <sheetData>
    <row r="1" spans="3:6" ht="15">
      <c r="C1" s="71" t="s">
        <v>111</v>
      </c>
      <c r="F1" s="71" t="s">
        <v>220</v>
      </c>
    </row>
    <row r="2" spans="1:5" ht="15">
      <c r="A2" s="72" t="s">
        <v>162</v>
      </c>
      <c r="B2" s="72" t="s">
        <v>2</v>
      </c>
      <c r="C2" s="72" t="s">
        <v>218</v>
      </c>
      <c r="D2" s="72" t="s">
        <v>163</v>
      </c>
      <c r="E2" s="72" t="s">
        <v>219</v>
      </c>
    </row>
    <row r="3" spans="1:5" ht="15">
      <c r="A3" s="45" t="s">
        <v>112</v>
      </c>
      <c r="B3" s="14">
        <v>8919008530</v>
      </c>
      <c r="C3" s="46">
        <v>118402650</v>
      </c>
      <c r="D3" s="46">
        <v>373318</v>
      </c>
      <c r="E3" s="47">
        <f>+C3+D3</f>
        <v>118775968</v>
      </c>
    </row>
    <row r="4" spans="1:5" ht="15">
      <c r="A4" s="45" t="s">
        <v>113</v>
      </c>
      <c r="B4" s="14">
        <v>8001448299</v>
      </c>
      <c r="C4" s="46">
        <f>951267313+285632956</f>
        <v>1236900269</v>
      </c>
      <c r="D4" s="46">
        <v>48590006</v>
      </c>
      <c r="E4" s="47">
        <f aca="true" t="shared" si="0" ref="E4:E27">+C4+D4</f>
        <v>1285490275</v>
      </c>
    </row>
    <row r="5" spans="1:5" ht="15">
      <c r="A5" s="45" t="s">
        <v>114</v>
      </c>
      <c r="B5" s="14">
        <v>8909800408</v>
      </c>
      <c r="C5" s="46">
        <f>14972203142+340486461</f>
        <v>15312689603</v>
      </c>
      <c r="D5" s="46">
        <v>45966213</v>
      </c>
      <c r="E5" s="47">
        <f t="shared" si="0"/>
        <v>15358655816</v>
      </c>
    </row>
    <row r="6" spans="1:6" ht="15">
      <c r="A6" s="45" t="s">
        <v>115</v>
      </c>
      <c r="B6" s="14">
        <v>8908010630</v>
      </c>
      <c r="C6" s="46">
        <f>3708425975+415207666</f>
        <v>4123633641</v>
      </c>
      <c r="D6" s="46">
        <v>14855335</v>
      </c>
      <c r="E6" s="47">
        <f t="shared" si="0"/>
        <v>4138488976</v>
      </c>
      <c r="F6" s="80">
        <v>2817145170</v>
      </c>
    </row>
    <row r="7" spans="1:5" ht="15">
      <c r="A7" s="45" t="s">
        <v>116</v>
      </c>
      <c r="B7" s="14">
        <v>8904801235</v>
      </c>
      <c r="C7" s="46">
        <f>3963436453+398609144</f>
        <v>4362045597</v>
      </c>
      <c r="D7" s="46">
        <v>12433458</v>
      </c>
      <c r="E7" s="47">
        <f t="shared" si="0"/>
        <v>4374479055</v>
      </c>
    </row>
    <row r="8" spans="1:6" ht="15">
      <c r="A8" s="45" t="s">
        <v>117</v>
      </c>
      <c r="B8" s="14">
        <v>8910800313</v>
      </c>
      <c r="C8" s="46">
        <f>3728949469+300468247</f>
        <v>4029417716</v>
      </c>
      <c r="D8" s="46">
        <v>17094898</v>
      </c>
      <c r="E8" s="47">
        <f t="shared" si="0"/>
        <v>4046512614</v>
      </c>
      <c r="F8" s="80">
        <v>1455196888</v>
      </c>
    </row>
    <row r="9" spans="1:6" ht="15">
      <c r="A9" s="45" t="s">
        <v>118</v>
      </c>
      <c r="B9" s="14">
        <v>8906800622</v>
      </c>
      <c r="C9" s="46">
        <f>629159489+270497900</f>
        <v>899657389</v>
      </c>
      <c r="D9" s="46">
        <v>38266521</v>
      </c>
      <c r="E9" s="47">
        <f t="shared" si="0"/>
        <v>937923910</v>
      </c>
      <c r="F9" s="80">
        <v>869690960</v>
      </c>
    </row>
    <row r="10" spans="1:6" ht="15">
      <c r="A10" s="45" t="s">
        <v>119</v>
      </c>
      <c r="B10" s="14">
        <v>8911903461</v>
      </c>
      <c r="C10" s="46">
        <f>1224166589+278142136</f>
        <v>1502308725</v>
      </c>
      <c r="D10" s="46">
        <v>50050293</v>
      </c>
      <c r="E10" s="47">
        <f t="shared" si="0"/>
        <v>1552359018</v>
      </c>
      <c r="F10" s="80">
        <v>596392907</v>
      </c>
    </row>
    <row r="11" spans="1:5" ht="15">
      <c r="A11" s="45" t="s">
        <v>120</v>
      </c>
      <c r="B11" s="14">
        <v>8921150294</v>
      </c>
      <c r="C11" s="46">
        <f>1013496213+252968697</f>
        <v>1266464910</v>
      </c>
      <c r="D11" s="46">
        <v>44692021</v>
      </c>
      <c r="E11" s="47">
        <f t="shared" si="0"/>
        <v>1311156931</v>
      </c>
    </row>
    <row r="12" spans="1:9" ht="15">
      <c r="A12" s="45" t="s">
        <v>121</v>
      </c>
      <c r="B12" s="14">
        <v>8920007573</v>
      </c>
      <c r="C12" s="46">
        <f>1424066128+341272399</f>
        <v>1765338527</v>
      </c>
      <c r="D12" s="46">
        <v>4450637</v>
      </c>
      <c r="E12" s="47">
        <f t="shared" si="0"/>
        <v>1769789164</v>
      </c>
      <c r="F12" s="80">
        <v>1084402204</v>
      </c>
      <c r="H12" s="62"/>
      <c r="I12" s="62"/>
    </row>
    <row r="13" spans="1:9" ht="15">
      <c r="A13" s="45" t="s">
        <v>122</v>
      </c>
      <c r="B13" s="14">
        <v>8001189541</v>
      </c>
      <c r="C13" s="46">
        <f>3071842701+413516407</f>
        <v>3485359108</v>
      </c>
      <c r="D13" s="46">
        <v>9491159</v>
      </c>
      <c r="E13" s="47">
        <f t="shared" si="0"/>
        <v>3494850267</v>
      </c>
      <c r="H13" s="62">
        <v>3081333860</v>
      </c>
      <c r="I13" s="62">
        <f>+C13-H13</f>
        <v>404025248</v>
      </c>
    </row>
    <row r="14" spans="1:9" ht="15">
      <c r="A14" s="45" t="s">
        <v>123</v>
      </c>
      <c r="B14" s="14">
        <v>8905015104</v>
      </c>
      <c r="C14" s="46">
        <f>1899441098+252700712</f>
        <v>2152141810</v>
      </c>
      <c r="D14" s="46">
        <v>56823035</v>
      </c>
      <c r="E14" s="47">
        <f t="shared" si="0"/>
        <v>2208964845</v>
      </c>
      <c r="H14" s="62">
        <v>413516407</v>
      </c>
      <c r="I14" s="62">
        <f>+H14-D13</f>
        <v>404025248</v>
      </c>
    </row>
    <row r="15" spans="1:9" ht="15">
      <c r="A15" s="45" t="s">
        <v>124</v>
      </c>
      <c r="B15" s="14">
        <v>8922003239</v>
      </c>
      <c r="C15" s="46">
        <f>940595685+290248099</f>
        <v>1230843784</v>
      </c>
      <c r="D15" s="46">
        <v>49825817</v>
      </c>
      <c r="E15" s="47">
        <f t="shared" si="0"/>
        <v>1280669601</v>
      </c>
      <c r="H15" s="62">
        <f>SUM(H13:H14)</f>
        <v>3494850267</v>
      </c>
      <c r="I15" s="62"/>
    </row>
    <row r="16" spans="1:9" ht="15">
      <c r="A16" s="45" t="s">
        <v>125</v>
      </c>
      <c r="B16" s="14">
        <v>8901022573</v>
      </c>
      <c r="C16" s="46">
        <f>5697094938+296503800</f>
        <v>5993598738</v>
      </c>
      <c r="D16" s="46">
        <v>17877820</v>
      </c>
      <c r="E16" s="47">
        <f t="shared" si="0"/>
        <v>6011476558</v>
      </c>
      <c r="H16" s="62"/>
      <c r="I16" s="62"/>
    </row>
    <row r="17" spans="1:9" ht="15">
      <c r="A17" s="45" t="s">
        <v>126</v>
      </c>
      <c r="B17" s="14">
        <v>8915003192</v>
      </c>
      <c r="C17" s="46">
        <f>4975500354+276266218</f>
        <v>5251766572</v>
      </c>
      <c r="D17" s="46">
        <v>18853966</v>
      </c>
      <c r="E17" s="47">
        <f t="shared" si="0"/>
        <v>5270620538</v>
      </c>
      <c r="F17" s="80">
        <v>2825820822</v>
      </c>
      <c r="H17" s="62"/>
      <c r="I17" s="62"/>
    </row>
    <row r="18" spans="1:9" ht="15">
      <c r="A18" s="45" t="s">
        <v>127</v>
      </c>
      <c r="B18" s="14">
        <v>8917801118</v>
      </c>
      <c r="C18" s="46">
        <f>2374824105+364379292</f>
        <v>2739203397</v>
      </c>
      <c r="D18" s="46">
        <v>51872839</v>
      </c>
      <c r="E18" s="47">
        <f t="shared" si="0"/>
        <v>2791076236</v>
      </c>
      <c r="H18" s="62"/>
      <c r="I18" s="62"/>
    </row>
    <row r="19" spans="1:9" ht="15">
      <c r="A19" s="45" t="s">
        <v>128</v>
      </c>
      <c r="B19" s="14">
        <v>8350003004</v>
      </c>
      <c r="C19" s="46">
        <f>622486385+340142791</f>
        <v>962629176</v>
      </c>
      <c r="D19" s="46">
        <v>43178098</v>
      </c>
      <c r="E19" s="47">
        <f t="shared" si="0"/>
        <v>1005807274</v>
      </c>
      <c r="F19" s="79">
        <v>374435851</v>
      </c>
      <c r="H19" s="62"/>
      <c r="I19" s="62"/>
    </row>
    <row r="20" spans="1:9" ht="15">
      <c r="A20" s="45" t="s">
        <v>129</v>
      </c>
      <c r="B20" s="14">
        <v>8900004328</v>
      </c>
      <c r="C20" s="46">
        <f>2557443588+321064725</f>
        <v>2878508313</v>
      </c>
      <c r="D20" s="46">
        <v>49537293</v>
      </c>
      <c r="E20" s="47">
        <f t="shared" si="0"/>
        <v>2928045606</v>
      </c>
      <c r="H20" s="62"/>
      <c r="I20" s="62"/>
    </row>
    <row r="21" spans="1:9" ht="15">
      <c r="A21" s="45" t="s">
        <v>130</v>
      </c>
      <c r="B21" s="14">
        <v>8907006407</v>
      </c>
      <c r="C21" s="46">
        <f>2234876433+316366099</f>
        <v>2551242532</v>
      </c>
      <c r="D21" s="46">
        <v>49788532</v>
      </c>
      <c r="E21" s="47">
        <f t="shared" si="0"/>
        <v>2601031064</v>
      </c>
      <c r="H21" s="62"/>
      <c r="I21" s="62"/>
    </row>
    <row r="22" spans="1:9" ht="15">
      <c r="A22" s="45" t="s">
        <v>131</v>
      </c>
      <c r="B22" s="14">
        <v>8903990106</v>
      </c>
      <c r="C22" s="46">
        <f>11248446676+376650362</f>
        <v>11625097038</v>
      </c>
      <c r="D22" s="46">
        <v>34468566</v>
      </c>
      <c r="E22" s="47">
        <f t="shared" si="0"/>
        <v>11659565604</v>
      </c>
      <c r="H22" s="62"/>
      <c r="I22" s="62"/>
    </row>
    <row r="23" spans="1:9" ht="15">
      <c r="A23" s="45" t="s">
        <v>132</v>
      </c>
      <c r="B23" s="14">
        <v>8999992307</v>
      </c>
      <c r="C23" s="46">
        <f>887318095+251536917</f>
        <v>1138855012</v>
      </c>
      <c r="D23" s="46">
        <v>2797670</v>
      </c>
      <c r="E23" s="47">
        <f t="shared" si="0"/>
        <v>1141652682</v>
      </c>
      <c r="H23" s="62"/>
      <c r="I23" s="62"/>
    </row>
    <row r="24" spans="1:9" ht="15">
      <c r="A24" s="45" t="s">
        <v>133</v>
      </c>
      <c r="B24" s="14">
        <v>8905006226</v>
      </c>
      <c r="C24" s="46">
        <f>1652274771+302572448</f>
        <v>1954847219</v>
      </c>
      <c r="D24" s="46">
        <v>55610268</v>
      </c>
      <c r="E24" s="47">
        <f t="shared" si="0"/>
        <v>2010457487</v>
      </c>
      <c r="H24" s="62"/>
      <c r="I24" s="62"/>
    </row>
    <row r="25" spans="1:5" ht="15">
      <c r="A25" s="45" t="s">
        <v>134</v>
      </c>
      <c r="B25" s="21">
        <v>8001631300</v>
      </c>
      <c r="C25" s="46">
        <f>631905580+302671026</f>
        <v>934576606</v>
      </c>
      <c r="D25" s="46">
        <v>49100801</v>
      </c>
      <c r="E25" s="47">
        <f t="shared" si="0"/>
        <v>983677407</v>
      </c>
    </row>
    <row r="26" spans="1:5" ht="15">
      <c r="A26" s="45" t="s">
        <v>135</v>
      </c>
      <c r="B26" s="14">
        <v>8902012134</v>
      </c>
      <c r="C26" s="46">
        <f>5959724991+368618285</f>
        <v>6328343276</v>
      </c>
      <c r="D26" s="46">
        <v>18348935</v>
      </c>
      <c r="E26" s="47">
        <f t="shared" si="0"/>
        <v>6346692211</v>
      </c>
    </row>
    <row r="27" spans="1:5" ht="15">
      <c r="A27" s="45" t="s">
        <v>136</v>
      </c>
      <c r="B27" s="14">
        <v>8002253408</v>
      </c>
      <c r="C27" s="46">
        <f>593070706+361784316</f>
        <v>954855022</v>
      </c>
      <c r="D27" s="46">
        <v>1619354</v>
      </c>
      <c r="E27" s="47">
        <f t="shared" si="0"/>
        <v>956474376</v>
      </c>
    </row>
    <row r="28" spans="1:6" ht="15">
      <c r="A28" s="45" t="s">
        <v>137</v>
      </c>
      <c r="B28" s="14">
        <v>8999990633</v>
      </c>
      <c r="C28" s="46">
        <f>31816169687+421301881</f>
        <v>32237471568</v>
      </c>
      <c r="D28" s="46">
        <v>132029123</v>
      </c>
      <c r="E28" s="47">
        <f>+C28+D28</f>
        <v>32369500691</v>
      </c>
      <c r="F28" s="81">
        <v>37817633866</v>
      </c>
    </row>
    <row r="29" spans="1:6" ht="15">
      <c r="A29" s="45" t="s">
        <v>138</v>
      </c>
      <c r="B29" s="14">
        <v>8999991244</v>
      </c>
      <c r="C29" s="46">
        <f>3145405352+328922227</f>
        <v>3474327579</v>
      </c>
      <c r="D29" s="46">
        <v>9775665</v>
      </c>
      <c r="E29" s="47">
        <f>+C29+D29</f>
        <v>3484103244</v>
      </c>
      <c r="F29" s="80">
        <v>1914964420</v>
      </c>
    </row>
    <row r="30" spans="1:6" ht="15">
      <c r="A30" s="45" t="s">
        <v>139</v>
      </c>
      <c r="B30" s="73">
        <v>8918003301</v>
      </c>
      <c r="C30" s="46">
        <f>5968662183+308503802</f>
        <v>6277165985</v>
      </c>
      <c r="D30" s="46">
        <v>18404882</v>
      </c>
      <c r="E30" s="47">
        <f>+C30+D30</f>
        <v>6295570867</v>
      </c>
      <c r="F30" s="80">
        <v>3903665130</v>
      </c>
    </row>
    <row r="31" spans="1:6" ht="15">
      <c r="A31" s="45" t="s">
        <v>140</v>
      </c>
      <c r="B31" s="14">
        <v>8923002856</v>
      </c>
      <c r="C31" s="46">
        <f>1337270761+241112541</f>
        <v>1578383302</v>
      </c>
      <c r="D31" s="46">
        <v>39382919</v>
      </c>
      <c r="E31" s="47">
        <f>+C31+D31</f>
        <v>1617766221</v>
      </c>
      <c r="F31" s="80">
        <v>769912858</v>
      </c>
    </row>
    <row r="32" spans="1:6" ht="15">
      <c r="A32" s="45" t="s">
        <v>141</v>
      </c>
      <c r="B32" s="14">
        <v>8916800894</v>
      </c>
      <c r="C32" s="46">
        <f>2125275089+318161753</f>
        <v>2443436842</v>
      </c>
      <c r="D32" s="46">
        <v>68482960</v>
      </c>
      <c r="E32" s="47">
        <f>+C32+D32</f>
        <v>2511919802</v>
      </c>
      <c r="F32" s="80">
        <v>661453543</v>
      </c>
    </row>
    <row r="33" spans="1:6" ht="15">
      <c r="A33" s="45" t="s">
        <v>142</v>
      </c>
      <c r="B33" s="14">
        <v>8911800842</v>
      </c>
      <c r="C33" s="46">
        <f>2594232880+329969246</f>
        <v>2924202126</v>
      </c>
      <c r="D33" s="46">
        <v>7967839</v>
      </c>
      <c r="E33" s="47">
        <f>+C33+D33</f>
        <v>2932169965</v>
      </c>
      <c r="F33" s="80">
        <v>1810819058</v>
      </c>
    </row>
    <row r="34" spans="1:6" ht="15">
      <c r="A34" s="45" t="s">
        <v>143</v>
      </c>
      <c r="B34" s="14">
        <v>8914800359</v>
      </c>
      <c r="C34" s="46">
        <f>4439153766+422071741</f>
        <v>4861225507</v>
      </c>
      <c r="D34" s="46">
        <v>14561204</v>
      </c>
      <c r="E34" s="47">
        <f>+C34+D34</f>
        <v>4875786711</v>
      </c>
      <c r="F34" s="80">
        <v>2502683178</v>
      </c>
    </row>
    <row r="35" spans="1:6" ht="24.75">
      <c r="A35" s="45" t="s">
        <v>144</v>
      </c>
      <c r="B35" s="14">
        <v>8605127804</v>
      </c>
      <c r="C35" s="46">
        <f>2014548670+241731725</f>
        <v>2256280395</v>
      </c>
      <c r="D35" s="46">
        <v>43160286</v>
      </c>
      <c r="E35" s="47">
        <f>+C35+D35</f>
        <v>2299440681</v>
      </c>
      <c r="F35" s="80">
        <v>1358728784</v>
      </c>
    </row>
    <row r="36" spans="1:6" ht="15">
      <c r="A36" s="49" t="s">
        <v>145</v>
      </c>
      <c r="B36" s="50"/>
      <c r="C36" s="51">
        <f>SUM(C3:C35)</f>
        <v>140851219934</v>
      </c>
      <c r="D36" s="51">
        <f>SUM(D3:D35)</f>
        <v>1119731731</v>
      </c>
      <c r="E36" s="51">
        <f>+C36+D36</f>
        <v>141970951665</v>
      </c>
      <c r="F36" s="62">
        <f>SUM(F3:F35)</f>
        <v>60762945639</v>
      </c>
    </row>
    <row r="37" spans="1:5" ht="15">
      <c r="A37" s="52" t="s">
        <v>146</v>
      </c>
      <c r="B37" s="53">
        <v>8918002604</v>
      </c>
      <c r="C37" s="54">
        <v>393245961</v>
      </c>
      <c r="E37" s="47"/>
    </row>
    <row r="38" spans="1:5" ht="15">
      <c r="A38" s="52" t="s">
        <v>147</v>
      </c>
      <c r="B38" s="53">
        <v>8907009060</v>
      </c>
      <c r="C38" s="54">
        <v>63845174</v>
      </c>
      <c r="E38" s="47"/>
    </row>
    <row r="39" spans="1:5" ht="15">
      <c r="A39" s="55" t="s">
        <v>46</v>
      </c>
      <c r="B39" s="53">
        <v>8909801341</v>
      </c>
      <c r="C39" s="54">
        <v>208672338</v>
      </c>
      <c r="E39" s="47"/>
    </row>
    <row r="40" spans="1:5" ht="15">
      <c r="A40" s="55" t="s">
        <v>61</v>
      </c>
      <c r="B40" s="53">
        <v>8915007591</v>
      </c>
      <c r="C40" s="54">
        <v>262777234</v>
      </c>
      <c r="E40" s="47"/>
    </row>
    <row r="41" spans="1:5" ht="15">
      <c r="A41" s="52" t="s">
        <v>148</v>
      </c>
      <c r="B41" s="53">
        <v>8909801501</v>
      </c>
      <c r="C41" s="54">
        <v>128354046</v>
      </c>
      <c r="E41" s="47"/>
    </row>
    <row r="42" spans="1:5" ht="15">
      <c r="A42" s="55" t="s">
        <v>149</v>
      </c>
      <c r="B42" s="53">
        <v>8002479401</v>
      </c>
      <c r="C42" s="54">
        <v>122853105</v>
      </c>
      <c r="E42" s="47"/>
    </row>
    <row r="43" spans="1:5" ht="15">
      <c r="A43" s="55" t="s">
        <v>150</v>
      </c>
      <c r="B43" s="53">
        <v>8917019320</v>
      </c>
      <c r="C43" s="54">
        <v>159276571</v>
      </c>
      <c r="E43" s="47"/>
    </row>
    <row r="44" spans="1:5" ht="15">
      <c r="A44" s="55" t="s">
        <v>151</v>
      </c>
      <c r="B44" s="53">
        <v>8908026784</v>
      </c>
      <c r="C44" s="54">
        <v>128187289</v>
      </c>
      <c r="E44" s="47"/>
    </row>
    <row r="45" spans="1:5" ht="15">
      <c r="A45" s="55" t="s">
        <v>152</v>
      </c>
      <c r="B45" s="53">
        <v>8001240234</v>
      </c>
      <c r="C45" s="54">
        <v>171714544</v>
      </c>
      <c r="E45" s="47"/>
    </row>
    <row r="46" spans="1:5" ht="15">
      <c r="A46" s="55" t="s">
        <v>153</v>
      </c>
      <c r="B46" s="53">
        <v>8909801531</v>
      </c>
      <c r="C46" s="54">
        <v>494392467</v>
      </c>
      <c r="E46" s="47"/>
    </row>
    <row r="47" spans="1:5" ht="15">
      <c r="A47" s="55" t="s">
        <v>90</v>
      </c>
      <c r="B47" s="53">
        <v>8904800545</v>
      </c>
      <c r="C47" s="54">
        <v>207704043</v>
      </c>
      <c r="E47" s="47"/>
    </row>
    <row r="48" spans="1:5" ht="15">
      <c r="A48" s="55" t="s">
        <v>154</v>
      </c>
      <c r="B48" s="53">
        <v>8020110655</v>
      </c>
      <c r="C48" s="54">
        <v>167905996</v>
      </c>
      <c r="E48" s="47"/>
    </row>
    <row r="49" spans="1:5" ht="15">
      <c r="A49" s="55" t="s">
        <v>96</v>
      </c>
      <c r="B49" s="53">
        <v>8905015784</v>
      </c>
      <c r="C49" s="54">
        <v>174590931</v>
      </c>
      <c r="E49" s="47"/>
    </row>
    <row r="50" spans="1:5" ht="15">
      <c r="A50" s="55" t="s">
        <v>97</v>
      </c>
      <c r="B50" s="53">
        <v>8919028110</v>
      </c>
      <c r="C50" s="54">
        <v>222657248</v>
      </c>
      <c r="E50" s="47"/>
    </row>
    <row r="51" spans="1:5" ht="15">
      <c r="A51" s="56"/>
      <c r="B51" s="56"/>
      <c r="C51" s="51">
        <f>SUM(C37:C50)</f>
        <v>2906176947</v>
      </c>
      <c r="E51" s="47"/>
    </row>
    <row r="52" spans="1:5" ht="15">
      <c r="A52" s="56"/>
      <c r="B52" s="56"/>
      <c r="C52" s="47">
        <f>+E36+C51</f>
        <v>144877128612</v>
      </c>
      <c r="E52" s="47"/>
    </row>
    <row r="53" spans="1:5" ht="15">
      <c r="A53" s="56"/>
      <c r="B53" s="56"/>
      <c r="C53" s="71" t="s">
        <v>155</v>
      </c>
      <c r="E53" s="47"/>
    </row>
    <row r="54" spans="1:5" ht="48.75">
      <c r="A54" s="57" t="s">
        <v>156</v>
      </c>
      <c r="B54" s="58">
        <v>8999990633</v>
      </c>
      <c r="C54" s="46">
        <v>10265689102</v>
      </c>
      <c r="D54" s="48"/>
      <c r="E54" s="47"/>
    </row>
    <row r="55" spans="1:5" ht="36.75">
      <c r="A55" s="57" t="s">
        <v>157</v>
      </c>
      <c r="B55" s="58">
        <v>8915003192</v>
      </c>
      <c r="C55" s="46">
        <v>1076432590</v>
      </c>
      <c r="D55" s="46"/>
      <c r="E55" s="47"/>
    </row>
    <row r="56" spans="1:5" ht="36.75">
      <c r="A56" s="57" t="s">
        <v>158</v>
      </c>
      <c r="B56" s="59">
        <v>8908010630</v>
      </c>
      <c r="C56" s="46">
        <v>992908558</v>
      </c>
      <c r="D56" s="46"/>
      <c r="E56" s="47"/>
    </row>
    <row r="57" spans="1:5" ht="36.75">
      <c r="A57" s="57" t="s">
        <v>159</v>
      </c>
      <c r="B57" s="59">
        <v>8910800313</v>
      </c>
      <c r="C57" s="46">
        <v>1719875144</v>
      </c>
      <c r="D57" s="46"/>
      <c r="E57" s="47"/>
    </row>
    <row r="58" spans="1:5" ht="48.75">
      <c r="A58" s="57" t="s">
        <v>160</v>
      </c>
      <c r="B58" s="59">
        <v>8916800894</v>
      </c>
      <c r="C58" s="46">
        <v>95786696</v>
      </c>
      <c r="D58" s="46"/>
      <c r="E58" s="47"/>
    </row>
    <row r="59" spans="1:5" ht="49.5" thickBot="1">
      <c r="A59" s="57" t="s">
        <v>161</v>
      </c>
      <c r="B59" s="59">
        <v>8914800359</v>
      </c>
      <c r="C59" s="74">
        <v>264388268</v>
      </c>
      <c r="D59" s="46"/>
      <c r="E59" s="47"/>
    </row>
    <row r="60" spans="1:5" ht="15.75" thickTop="1">
      <c r="A60" s="56"/>
      <c r="B60" s="56"/>
      <c r="C60" s="51">
        <f>SUM(C54:C59)</f>
        <v>14415080358</v>
      </c>
      <c r="E60" s="47"/>
    </row>
    <row r="61" spans="3:5" ht="15">
      <c r="C61" s="51">
        <f>+C60+C36+D36</f>
        <v>156386032023</v>
      </c>
      <c r="E61" s="47"/>
    </row>
    <row r="62" spans="3:5" ht="15">
      <c r="C62" s="47">
        <f>+C61+C51</f>
        <v>159292208970</v>
      </c>
      <c r="E62" s="47"/>
    </row>
    <row r="63" ht="15">
      <c r="C63" s="60"/>
    </row>
    <row r="64" ht="15">
      <c r="C64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5"/>
  <sheetViews>
    <sheetView zoomScalePageLayoutView="0" workbookViewId="0" topLeftCell="A31">
      <selection activeCell="F54" sqref="F54"/>
    </sheetView>
  </sheetViews>
  <sheetFormatPr defaultColWidth="11.421875" defaultRowHeight="15"/>
  <cols>
    <col min="1" max="1" width="17.57421875" style="0" bestFit="1" customWidth="1"/>
    <col min="2" max="2" width="13.57421875" style="0" bestFit="1" customWidth="1"/>
    <col min="3" max="3" width="12.140625" style="0" bestFit="1" customWidth="1"/>
    <col min="6" max="6" width="43.57421875" style="0" customWidth="1"/>
    <col min="7" max="8" width="18.8515625" style="0" bestFit="1" customWidth="1"/>
    <col min="9" max="9" width="14.8515625" style="0" bestFit="1" customWidth="1"/>
  </cols>
  <sheetData>
    <row r="3" spans="1:8" ht="15">
      <c r="A3" s="65" t="s">
        <v>204</v>
      </c>
      <c r="B3" t="s">
        <v>206</v>
      </c>
      <c r="C3" t="s">
        <v>207</v>
      </c>
      <c r="E3" s="68" t="s">
        <v>204</v>
      </c>
      <c r="F3" s="68"/>
      <c r="G3" s="68" t="s">
        <v>206</v>
      </c>
      <c r="H3" s="68" t="s">
        <v>207</v>
      </c>
    </row>
    <row r="4" spans="1:9" ht="15">
      <c r="A4" s="66">
        <v>16241270</v>
      </c>
      <c r="B4" s="67"/>
      <c r="C4" s="67">
        <v>10504642</v>
      </c>
      <c r="E4" s="66">
        <v>800118954</v>
      </c>
      <c r="F4" s="66" t="s">
        <v>6</v>
      </c>
      <c r="G4" s="62">
        <v>6162667720</v>
      </c>
      <c r="H4" s="62">
        <v>6162667720</v>
      </c>
      <c r="I4" s="70">
        <f aca="true" t="shared" si="0" ref="I4:I50">+G4-H4</f>
        <v>0</v>
      </c>
    </row>
    <row r="5" spans="1:9" ht="15">
      <c r="A5" s="66">
        <v>16583292</v>
      </c>
      <c r="B5" s="67"/>
      <c r="C5" s="67">
        <v>10504642</v>
      </c>
      <c r="E5" s="66">
        <v>800124023</v>
      </c>
      <c r="F5" s="66" t="s">
        <v>8</v>
      </c>
      <c r="G5" s="62">
        <v>171714544</v>
      </c>
      <c r="H5" s="62">
        <v>171714544</v>
      </c>
      <c r="I5" s="70">
        <f t="shared" si="0"/>
        <v>0</v>
      </c>
    </row>
    <row r="6" spans="1:9" ht="15">
      <c r="A6" s="66">
        <v>19099020</v>
      </c>
      <c r="B6" s="67"/>
      <c r="C6" s="67">
        <v>8500500</v>
      </c>
      <c r="E6" s="66">
        <v>800144829</v>
      </c>
      <c r="F6" s="66" t="s">
        <v>9</v>
      </c>
      <c r="G6" s="62">
        <v>1999714638</v>
      </c>
      <c r="H6" s="62">
        <v>1999714638</v>
      </c>
      <c r="I6" s="70">
        <f t="shared" si="0"/>
        <v>0</v>
      </c>
    </row>
    <row r="7" spans="1:9" ht="15">
      <c r="A7" s="66">
        <v>19156691</v>
      </c>
      <c r="B7" s="67"/>
      <c r="C7" s="67">
        <v>10504642</v>
      </c>
      <c r="E7" s="66">
        <v>800163130</v>
      </c>
      <c r="F7" s="66" t="s">
        <v>10</v>
      </c>
      <c r="G7" s="62">
        <v>1362012762</v>
      </c>
      <c r="H7" s="62">
        <v>1362012762</v>
      </c>
      <c r="I7" s="70">
        <f t="shared" si="0"/>
        <v>0</v>
      </c>
    </row>
    <row r="8" spans="1:9" ht="15">
      <c r="A8" s="66">
        <v>24320173</v>
      </c>
      <c r="B8" s="67"/>
      <c r="C8" s="67">
        <v>11077254</v>
      </c>
      <c r="E8" s="66">
        <v>800225340</v>
      </c>
      <c r="F8" s="66" t="s">
        <v>12</v>
      </c>
      <c r="G8" s="62">
        <v>1189380120</v>
      </c>
      <c r="H8" s="62">
        <v>1189380120</v>
      </c>
      <c r="I8" s="70">
        <f t="shared" si="0"/>
        <v>0</v>
      </c>
    </row>
    <row r="9" spans="1:9" ht="15">
      <c r="A9" s="66">
        <v>43500246</v>
      </c>
      <c r="B9" s="67"/>
      <c r="C9" s="67">
        <v>10504642</v>
      </c>
      <c r="E9" s="66">
        <v>800247940</v>
      </c>
      <c r="F9" s="66" t="s">
        <v>14</v>
      </c>
      <c r="G9" s="62">
        <v>122853105</v>
      </c>
      <c r="H9" s="62">
        <v>122853105</v>
      </c>
      <c r="I9" s="70">
        <f t="shared" si="0"/>
        <v>0</v>
      </c>
    </row>
    <row r="10" spans="1:9" ht="15">
      <c r="A10" s="66">
        <v>79154384</v>
      </c>
      <c r="B10" s="67"/>
      <c r="C10" s="67">
        <v>8500500</v>
      </c>
      <c r="E10" s="66">
        <v>802011065</v>
      </c>
      <c r="F10" s="66" t="s">
        <v>88</v>
      </c>
      <c r="G10" s="62">
        <v>167905996</v>
      </c>
      <c r="H10" s="62">
        <v>167905996</v>
      </c>
      <c r="I10" s="70">
        <f t="shared" si="0"/>
        <v>0</v>
      </c>
    </row>
    <row r="11" spans="1:9" ht="15">
      <c r="A11" s="66">
        <v>800118954</v>
      </c>
      <c r="B11" s="67">
        <v>6162667720</v>
      </c>
      <c r="C11" s="67">
        <v>6162667720</v>
      </c>
      <c r="E11" s="66">
        <v>835000300</v>
      </c>
      <c r="F11" s="66" t="s">
        <v>16</v>
      </c>
      <c r="G11" s="62">
        <v>1331328966</v>
      </c>
      <c r="H11" s="62">
        <v>1331328966</v>
      </c>
      <c r="I11" s="70">
        <f t="shared" si="0"/>
        <v>0</v>
      </c>
    </row>
    <row r="12" spans="1:9" ht="15">
      <c r="A12" s="66">
        <v>800124023</v>
      </c>
      <c r="B12" s="67">
        <v>171714544</v>
      </c>
      <c r="C12" s="67">
        <v>171714544</v>
      </c>
      <c r="E12" s="66">
        <v>860512780</v>
      </c>
      <c r="F12" s="66" t="s">
        <v>18</v>
      </c>
      <c r="G12" s="62">
        <v>4115417912</v>
      </c>
      <c r="H12" s="62">
        <v>4115417912</v>
      </c>
      <c r="I12" s="70">
        <f t="shared" si="0"/>
        <v>0</v>
      </c>
    </row>
    <row r="13" spans="1:9" ht="15">
      <c r="A13" s="66">
        <v>800144829</v>
      </c>
      <c r="B13" s="67">
        <v>1999714638</v>
      </c>
      <c r="C13" s="67">
        <v>1999714638</v>
      </c>
      <c r="E13" s="66">
        <v>890000432</v>
      </c>
      <c r="F13" s="66" t="s">
        <v>22</v>
      </c>
      <c r="G13" s="62">
        <v>5213961762</v>
      </c>
      <c r="H13" s="62">
        <v>5213961762</v>
      </c>
      <c r="I13" s="70">
        <f t="shared" si="0"/>
        <v>0</v>
      </c>
    </row>
    <row r="14" spans="1:9" ht="15">
      <c r="A14" s="66">
        <v>800163130</v>
      </c>
      <c r="B14" s="67">
        <v>1362012762</v>
      </c>
      <c r="C14" s="67">
        <v>1362012762</v>
      </c>
      <c r="E14" s="66">
        <v>890102257</v>
      </c>
      <c r="F14" s="66" t="s">
        <v>24</v>
      </c>
      <c r="G14" s="62">
        <v>11429945516</v>
      </c>
      <c r="H14" s="62">
        <v>11429945516</v>
      </c>
      <c r="I14" s="70">
        <f t="shared" si="0"/>
        <v>0</v>
      </c>
    </row>
    <row r="15" spans="1:9" ht="15">
      <c r="A15" s="66">
        <v>800225340</v>
      </c>
      <c r="B15" s="67">
        <v>1189380120</v>
      </c>
      <c r="C15" s="67">
        <v>1189380120</v>
      </c>
      <c r="E15" s="66">
        <v>890201213</v>
      </c>
      <c r="F15" s="66" t="s">
        <v>26</v>
      </c>
      <c r="G15" s="62">
        <v>11956147852</v>
      </c>
      <c r="H15" s="62">
        <v>11956147852</v>
      </c>
      <c r="I15" s="70">
        <f t="shared" si="0"/>
        <v>0</v>
      </c>
    </row>
    <row r="16" spans="1:9" ht="15">
      <c r="A16" s="66">
        <v>800247940</v>
      </c>
      <c r="B16" s="67">
        <v>122853105</v>
      </c>
      <c r="C16" s="67">
        <v>122853105</v>
      </c>
      <c r="E16" s="66">
        <v>890399010</v>
      </c>
      <c r="F16" s="66" t="s">
        <v>28</v>
      </c>
      <c r="G16" s="62">
        <v>22565830484</v>
      </c>
      <c r="H16" s="62">
        <v>22565830484</v>
      </c>
      <c r="I16" s="70">
        <f t="shared" si="0"/>
        <v>0</v>
      </c>
    </row>
    <row r="17" spans="1:9" ht="15">
      <c r="A17" s="66">
        <v>802011065</v>
      </c>
      <c r="B17" s="67">
        <v>167905996</v>
      </c>
      <c r="C17" s="67">
        <v>167905996</v>
      </c>
      <c r="E17" s="66">
        <v>890480054</v>
      </c>
      <c r="F17" s="66" t="s">
        <v>90</v>
      </c>
      <c r="G17" s="62">
        <v>207704043</v>
      </c>
      <c r="H17" s="62">
        <v>207704043</v>
      </c>
      <c r="I17" s="70">
        <f t="shared" si="0"/>
        <v>0</v>
      </c>
    </row>
    <row r="18" spans="1:9" ht="15">
      <c r="A18" s="66">
        <v>830037248</v>
      </c>
      <c r="B18" s="67"/>
      <c r="C18" s="67">
        <v>774250</v>
      </c>
      <c r="E18" s="66">
        <v>890480123</v>
      </c>
      <c r="F18" s="66" t="s">
        <v>30</v>
      </c>
      <c r="G18" s="62">
        <v>7951739822</v>
      </c>
      <c r="H18" s="62">
        <v>7951739822</v>
      </c>
      <c r="I18" s="70">
        <f t="shared" si="0"/>
        <v>0</v>
      </c>
    </row>
    <row r="19" spans="1:9" ht="15">
      <c r="A19" s="66">
        <v>835000300</v>
      </c>
      <c r="B19" s="67">
        <v>1331328966</v>
      </c>
      <c r="C19" s="67">
        <v>1331328966</v>
      </c>
      <c r="E19" s="66">
        <v>890500622</v>
      </c>
      <c r="F19" s="66" t="s">
        <v>32</v>
      </c>
      <c r="G19" s="62">
        <v>3415770078</v>
      </c>
      <c r="H19" s="62">
        <v>3415770078</v>
      </c>
      <c r="I19" s="70">
        <f t="shared" si="0"/>
        <v>0</v>
      </c>
    </row>
    <row r="20" spans="1:9" ht="15">
      <c r="A20" s="66">
        <v>860019077</v>
      </c>
      <c r="B20" s="67"/>
      <c r="C20" s="67">
        <v>9611800</v>
      </c>
      <c r="E20" s="66">
        <v>890501510</v>
      </c>
      <c r="F20" s="66" t="s">
        <v>34</v>
      </c>
      <c r="G20" s="62">
        <v>3912528266</v>
      </c>
      <c r="H20" s="62">
        <v>3912528266</v>
      </c>
      <c r="I20" s="70">
        <f t="shared" si="0"/>
        <v>0</v>
      </c>
    </row>
    <row r="21" spans="1:9" ht="15">
      <c r="A21" s="66">
        <v>860512780</v>
      </c>
      <c r="B21" s="67">
        <v>4115417912</v>
      </c>
      <c r="C21" s="67">
        <v>4115417912</v>
      </c>
      <c r="E21" s="66">
        <v>890501578</v>
      </c>
      <c r="F21" s="66" t="s">
        <v>96</v>
      </c>
      <c r="G21" s="62">
        <v>174590931</v>
      </c>
      <c r="H21" s="62">
        <v>174590931</v>
      </c>
      <c r="I21" s="70">
        <f t="shared" si="0"/>
        <v>0</v>
      </c>
    </row>
    <row r="22" spans="1:9" ht="15">
      <c r="A22" s="66">
        <v>860525148</v>
      </c>
      <c r="B22" s="67">
        <v>0</v>
      </c>
      <c r="C22" s="67"/>
      <c r="E22" s="66">
        <v>890680062</v>
      </c>
      <c r="F22" s="66" t="s">
        <v>36</v>
      </c>
      <c r="G22" s="62">
        <v>1334852020</v>
      </c>
      <c r="H22" s="62">
        <v>1334852020</v>
      </c>
      <c r="I22" s="70">
        <f t="shared" si="0"/>
        <v>0</v>
      </c>
    </row>
    <row r="23" spans="1:9" ht="15">
      <c r="A23" s="66">
        <v>890000432</v>
      </c>
      <c r="B23" s="67">
        <v>5213961762</v>
      </c>
      <c r="C23" s="67">
        <v>5213961762</v>
      </c>
      <c r="E23" s="66">
        <v>890700640</v>
      </c>
      <c r="F23" s="66" t="s">
        <v>38</v>
      </c>
      <c r="G23" s="62">
        <v>4569319930</v>
      </c>
      <c r="H23" s="62">
        <v>4569319930</v>
      </c>
      <c r="I23" s="70">
        <f t="shared" si="0"/>
        <v>0</v>
      </c>
    </row>
    <row r="24" spans="1:9" ht="15">
      <c r="A24" s="66">
        <v>890102257</v>
      </c>
      <c r="B24" s="67">
        <v>11429945516</v>
      </c>
      <c r="C24" s="67">
        <v>11429945516</v>
      </c>
      <c r="E24" s="66">
        <v>890700906</v>
      </c>
      <c r="F24" s="66" t="s">
        <v>39</v>
      </c>
      <c r="G24" s="62">
        <v>63845174</v>
      </c>
      <c r="H24" s="62">
        <v>63845174</v>
      </c>
      <c r="I24" s="70">
        <f t="shared" si="0"/>
        <v>0</v>
      </c>
    </row>
    <row r="25" spans="1:9" ht="15">
      <c r="A25" s="66">
        <v>890201213</v>
      </c>
      <c r="B25" s="67">
        <v>11956147852</v>
      </c>
      <c r="C25" s="67">
        <v>11956147852</v>
      </c>
      <c r="E25" s="66">
        <v>890801063</v>
      </c>
      <c r="F25" s="66" t="s">
        <v>41</v>
      </c>
      <c r="G25" s="62">
        <v>7446562620</v>
      </c>
      <c r="H25" s="62">
        <v>7446562620</v>
      </c>
      <c r="I25" s="70">
        <f t="shared" si="0"/>
        <v>0</v>
      </c>
    </row>
    <row r="26" spans="1:9" ht="15">
      <c r="A26" s="66">
        <v>890399010</v>
      </c>
      <c r="B26" s="67">
        <v>22565830484</v>
      </c>
      <c r="C26" s="67">
        <v>22565830484</v>
      </c>
      <c r="E26" s="66">
        <v>890802678</v>
      </c>
      <c r="F26" s="66" t="s">
        <v>43</v>
      </c>
      <c r="G26" s="62">
        <v>128187289</v>
      </c>
      <c r="H26" s="62">
        <v>128187289</v>
      </c>
      <c r="I26" s="70">
        <f t="shared" si="0"/>
        <v>0</v>
      </c>
    </row>
    <row r="27" spans="1:9" ht="15">
      <c r="A27" s="66">
        <v>890480054</v>
      </c>
      <c r="B27" s="67">
        <v>207704043</v>
      </c>
      <c r="C27" s="67">
        <v>207704043</v>
      </c>
      <c r="E27" s="66">
        <v>890980040</v>
      </c>
      <c r="F27" s="66" t="s">
        <v>45</v>
      </c>
      <c r="G27" s="62">
        <v>30036338710</v>
      </c>
      <c r="H27" s="62">
        <v>30036338710</v>
      </c>
      <c r="I27" s="70">
        <f t="shared" si="0"/>
        <v>0</v>
      </c>
    </row>
    <row r="28" spans="1:9" ht="15">
      <c r="A28" s="66">
        <v>890480123</v>
      </c>
      <c r="B28" s="67">
        <v>7951739822</v>
      </c>
      <c r="C28" s="67">
        <v>7951739822</v>
      </c>
      <c r="E28" s="66">
        <v>890980134</v>
      </c>
      <c r="F28" s="66" t="s">
        <v>46</v>
      </c>
      <c r="G28" s="62">
        <v>208672338</v>
      </c>
      <c r="H28" s="62">
        <v>208672338</v>
      </c>
      <c r="I28" s="70">
        <f t="shared" si="0"/>
        <v>0</v>
      </c>
    </row>
    <row r="29" spans="1:9" ht="15">
      <c r="A29" s="66">
        <v>890500622</v>
      </c>
      <c r="B29" s="67">
        <v>3415770078</v>
      </c>
      <c r="C29" s="67">
        <v>3415770078</v>
      </c>
      <c r="E29" s="66">
        <v>890980150</v>
      </c>
      <c r="F29" s="66" t="s">
        <v>48</v>
      </c>
      <c r="G29" s="62">
        <v>128354046</v>
      </c>
      <c r="H29" s="62">
        <v>128354046</v>
      </c>
      <c r="I29" s="70">
        <f t="shared" si="0"/>
        <v>0</v>
      </c>
    </row>
    <row r="30" spans="1:9" ht="15">
      <c r="A30" s="66">
        <v>890501510</v>
      </c>
      <c r="B30" s="67">
        <v>3912528266</v>
      </c>
      <c r="C30" s="67">
        <v>3912528266</v>
      </c>
      <c r="E30" s="66">
        <v>890980153</v>
      </c>
      <c r="F30" s="66" t="s">
        <v>92</v>
      </c>
      <c r="G30" s="62">
        <v>494392467</v>
      </c>
      <c r="H30" s="62">
        <v>494392467</v>
      </c>
      <c r="I30" s="70">
        <f t="shared" si="0"/>
        <v>0</v>
      </c>
    </row>
    <row r="31" spans="1:9" ht="15">
      <c r="A31" s="66">
        <v>890501578</v>
      </c>
      <c r="B31" s="67">
        <v>174590931</v>
      </c>
      <c r="C31" s="67">
        <v>174590931</v>
      </c>
      <c r="E31" s="66">
        <v>891080031</v>
      </c>
      <c r="F31" s="66" t="s">
        <v>50</v>
      </c>
      <c r="G31" s="62">
        <v>7492088734</v>
      </c>
      <c r="H31" s="62">
        <v>7492088734</v>
      </c>
      <c r="I31" s="70">
        <f t="shared" si="0"/>
        <v>0</v>
      </c>
    </row>
    <row r="32" spans="1:9" ht="15">
      <c r="A32" s="66">
        <v>890680062</v>
      </c>
      <c r="B32" s="67">
        <v>1334852020</v>
      </c>
      <c r="C32" s="67">
        <v>1334852020</v>
      </c>
      <c r="E32" s="66">
        <v>891180084</v>
      </c>
      <c r="F32" s="66" t="s">
        <v>52</v>
      </c>
      <c r="G32" s="62">
        <v>5204401438</v>
      </c>
      <c r="H32" s="62">
        <v>5204401438</v>
      </c>
      <c r="I32" s="70">
        <f t="shared" si="0"/>
        <v>0</v>
      </c>
    </row>
    <row r="33" spans="1:9" ht="15">
      <c r="A33" s="66">
        <v>890700640</v>
      </c>
      <c r="B33" s="67">
        <v>4569319930</v>
      </c>
      <c r="C33" s="67">
        <v>4569319930</v>
      </c>
      <c r="E33" s="66">
        <v>891190346</v>
      </c>
      <c r="F33" s="66" t="s">
        <v>54</v>
      </c>
      <c r="G33" s="62">
        <v>2548433764</v>
      </c>
      <c r="H33" s="62">
        <v>2548433764</v>
      </c>
      <c r="I33" s="70">
        <f t="shared" si="0"/>
        <v>0</v>
      </c>
    </row>
    <row r="34" spans="1:9" ht="15">
      <c r="A34" s="66">
        <v>890700906</v>
      </c>
      <c r="B34" s="67">
        <v>63845174</v>
      </c>
      <c r="C34" s="67">
        <v>63845174</v>
      </c>
      <c r="E34" s="66">
        <v>891480035</v>
      </c>
      <c r="F34" s="66" t="s">
        <v>58</v>
      </c>
      <c r="G34" s="62">
        <v>8907429940</v>
      </c>
      <c r="H34" s="62">
        <v>8907429940</v>
      </c>
      <c r="I34" s="70">
        <f t="shared" si="0"/>
        <v>0</v>
      </c>
    </row>
    <row r="35" spans="1:9" ht="15">
      <c r="A35" s="66">
        <v>890801063</v>
      </c>
      <c r="B35" s="67">
        <v>7446562620</v>
      </c>
      <c r="C35" s="67">
        <v>7446562620</v>
      </c>
      <c r="E35" s="66">
        <v>891500319</v>
      </c>
      <c r="F35" s="66" t="s">
        <v>60</v>
      </c>
      <c r="G35" s="62">
        <v>9988708640</v>
      </c>
      <c r="H35" s="62">
        <v>9988708640</v>
      </c>
      <c r="I35" s="70">
        <f t="shared" si="0"/>
        <v>0</v>
      </c>
    </row>
    <row r="36" spans="1:9" ht="15">
      <c r="A36" s="66">
        <v>890802678</v>
      </c>
      <c r="B36" s="67">
        <v>128187289</v>
      </c>
      <c r="C36" s="67">
        <v>128187289</v>
      </c>
      <c r="E36" s="66">
        <v>891500759</v>
      </c>
      <c r="F36" s="66" t="s">
        <v>61</v>
      </c>
      <c r="G36" s="62">
        <v>262777234</v>
      </c>
      <c r="H36" s="62">
        <v>262777234</v>
      </c>
      <c r="I36" s="70">
        <f t="shared" si="0"/>
        <v>0</v>
      </c>
    </row>
    <row r="37" spans="1:9" ht="15">
      <c r="A37" s="66">
        <v>890980040</v>
      </c>
      <c r="B37" s="67">
        <v>30036338710</v>
      </c>
      <c r="C37" s="67">
        <v>30036338710</v>
      </c>
      <c r="E37" s="66">
        <v>891680089</v>
      </c>
      <c r="F37" s="66" t="s">
        <v>63</v>
      </c>
      <c r="G37" s="62">
        <v>4387516098</v>
      </c>
      <c r="H37" s="62">
        <v>4387516098</v>
      </c>
      <c r="I37" s="70">
        <f t="shared" si="0"/>
        <v>0</v>
      </c>
    </row>
    <row r="38" spans="1:9" ht="15">
      <c r="A38" s="66">
        <v>890980112</v>
      </c>
      <c r="B38" s="67">
        <v>0</v>
      </c>
      <c r="C38" s="67"/>
      <c r="E38" s="66">
        <v>891701932</v>
      </c>
      <c r="F38" s="66" t="s">
        <v>65</v>
      </c>
      <c r="G38" s="62">
        <v>159276571</v>
      </c>
      <c r="H38" s="62">
        <v>159276571</v>
      </c>
      <c r="I38" s="70">
        <f t="shared" si="0"/>
        <v>0</v>
      </c>
    </row>
    <row r="39" spans="1:9" ht="15">
      <c r="A39" s="66">
        <v>890980134</v>
      </c>
      <c r="B39" s="67">
        <v>208672338</v>
      </c>
      <c r="C39" s="67">
        <v>208672338</v>
      </c>
      <c r="E39" s="66">
        <v>891780111</v>
      </c>
      <c r="F39" s="66" t="s">
        <v>67</v>
      </c>
      <c r="G39" s="62">
        <v>4853393888</v>
      </c>
      <c r="H39" s="62">
        <v>4853393888</v>
      </c>
      <c r="I39" s="70">
        <f t="shared" si="0"/>
        <v>0</v>
      </c>
    </row>
    <row r="40" spans="1:9" ht="15">
      <c r="A40" s="66">
        <v>890980150</v>
      </c>
      <c r="B40" s="67">
        <v>128354046</v>
      </c>
      <c r="C40" s="67">
        <v>128354046</v>
      </c>
      <c r="E40" s="66">
        <v>891800260</v>
      </c>
      <c r="F40" s="66" t="s">
        <v>69</v>
      </c>
      <c r="G40" s="62">
        <v>393245961</v>
      </c>
      <c r="H40" s="62">
        <v>393245961</v>
      </c>
      <c r="I40" s="70">
        <f t="shared" si="0"/>
        <v>0</v>
      </c>
    </row>
    <row r="41" spans="1:9" ht="15">
      <c r="A41" s="66">
        <v>890980153</v>
      </c>
      <c r="B41" s="67">
        <v>494392467</v>
      </c>
      <c r="C41" s="67">
        <v>494392467</v>
      </c>
      <c r="E41" s="66">
        <v>891800330</v>
      </c>
      <c r="F41" s="66" t="s">
        <v>71</v>
      </c>
      <c r="G41" s="62">
        <v>11974134130</v>
      </c>
      <c r="H41" s="62">
        <v>11974134130</v>
      </c>
      <c r="I41" s="70">
        <f t="shared" si="0"/>
        <v>0</v>
      </c>
    </row>
    <row r="42" spans="1:9" ht="15">
      <c r="A42" s="66">
        <v>891080031</v>
      </c>
      <c r="B42" s="67">
        <v>7492088734</v>
      </c>
      <c r="C42" s="67">
        <v>7492088734</v>
      </c>
      <c r="E42" s="66">
        <v>891900853</v>
      </c>
      <c r="F42" s="66" t="s">
        <v>72</v>
      </c>
      <c r="G42" s="62">
        <v>237551936</v>
      </c>
      <c r="H42" s="62">
        <v>237551936</v>
      </c>
      <c r="I42" s="70">
        <f t="shared" si="0"/>
        <v>0</v>
      </c>
    </row>
    <row r="43" spans="1:9" ht="15">
      <c r="A43" s="66">
        <v>891180084</v>
      </c>
      <c r="B43" s="67">
        <v>5204401438</v>
      </c>
      <c r="C43" s="67">
        <v>5204401438</v>
      </c>
      <c r="E43" s="66">
        <v>891902811</v>
      </c>
      <c r="F43" s="66" t="s">
        <v>97</v>
      </c>
      <c r="G43" s="62">
        <v>222657248</v>
      </c>
      <c r="H43" s="62">
        <v>222657248</v>
      </c>
      <c r="I43" s="70">
        <f t="shared" si="0"/>
        <v>0</v>
      </c>
    </row>
    <row r="44" spans="1:9" ht="15">
      <c r="A44" s="66">
        <v>891190346</v>
      </c>
      <c r="B44" s="67">
        <v>2548433764</v>
      </c>
      <c r="C44" s="67">
        <v>2548433764</v>
      </c>
      <c r="E44" s="66">
        <v>892000757</v>
      </c>
      <c r="F44" s="66" t="s">
        <v>74</v>
      </c>
      <c r="G44" s="62">
        <v>2857033530</v>
      </c>
      <c r="H44" s="62">
        <v>2857033530</v>
      </c>
      <c r="I44" s="70">
        <f t="shared" si="0"/>
        <v>0</v>
      </c>
    </row>
    <row r="45" spans="1:9" ht="15">
      <c r="A45" s="66">
        <v>891380033</v>
      </c>
      <c r="B45" s="67">
        <v>0</v>
      </c>
      <c r="C45" s="67"/>
      <c r="E45" s="66">
        <v>892115029</v>
      </c>
      <c r="F45" s="66" t="s">
        <v>76</v>
      </c>
      <c r="G45" s="62">
        <v>2116376468</v>
      </c>
      <c r="H45" s="62">
        <v>2116376468</v>
      </c>
      <c r="I45" s="70">
        <f t="shared" si="0"/>
        <v>0</v>
      </c>
    </row>
    <row r="46" spans="1:9" ht="15">
      <c r="A46" s="66">
        <v>891480035</v>
      </c>
      <c r="B46" s="67">
        <v>8907429940</v>
      </c>
      <c r="C46" s="67">
        <v>8907429940</v>
      </c>
      <c r="E46" s="66">
        <v>892200323</v>
      </c>
      <c r="F46" s="66" t="s">
        <v>78</v>
      </c>
      <c r="G46" s="62">
        <v>1980843004</v>
      </c>
      <c r="H46" s="62">
        <v>1980843004</v>
      </c>
      <c r="I46" s="70">
        <f t="shared" si="0"/>
        <v>0</v>
      </c>
    </row>
    <row r="47" spans="1:9" ht="15">
      <c r="A47" s="66">
        <v>891500319</v>
      </c>
      <c r="B47" s="67">
        <v>9988708640</v>
      </c>
      <c r="C47" s="67">
        <v>9988708640</v>
      </c>
      <c r="E47" s="66">
        <v>892300285</v>
      </c>
      <c r="F47" s="66" t="s">
        <v>80</v>
      </c>
      <c r="G47" s="62">
        <v>2753307360</v>
      </c>
      <c r="H47" s="62">
        <v>2753307360</v>
      </c>
      <c r="I47" s="70">
        <f t="shared" si="0"/>
        <v>0</v>
      </c>
    </row>
    <row r="48" spans="1:9" ht="15">
      <c r="A48" s="66">
        <v>891500759</v>
      </c>
      <c r="B48" s="67">
        <v>262777234</v>
      </c>
      <c r="C48" s="67">
        <v>262777234</v>
      </c>
      <c r="E48" s="66">
        <v>899999063</v>
      </c>
      <c r="F48" s="66" t="s">
        <v>82</v>
      </c>
      <c r="G48" s="62">
        <v>63896397620</v>
      </c>
      <c r="H48" s="62">
        <v>63896397620</v>
      </c>
      <c r="I48" s="70">
        <f t="shared" si="0"/>
        <v>0</v>
      </c>
    </row>
    <row r="49" spans="1:9" ht="15">
      <c r="A49" s="66">
        <v>891680089</v>
      </c>
      <c r="B49" s="67">
        <v>4387516098</v>
      </c>
      <c r="C49" s="67">
        <v>4387516098</v>
      </c>
      <c r="E49" s="66">
        <v>899999124</v>
      </c>
      <c r="F49" s="66" t="s">
        <v>84</v>
      </c>
      <c r="G49" s="62">
        <v>6310362034</v>
      </c>
      <c r="H49" s="62">
        <v>6310362034</v>
      </c>
      <c r="I49" s="70">
        <f t="shared" si="0"/>
        <v>0</v>
      </c>
    </row>
    <row r="50" spans="1:9" ht="15">
      <c r="A50" s="66">
        <v>891701932</v>
      </c>
      <c r="B50" s="67">
        <v>159276571</v>
      </c>
      <c r="C50" s="67">
        <v>159276571</v>
      </c>
      <c r="E50" s="66">
        <v>899999230</v>
      </c>
      <c r="F50" s="66" t="s">
        <v>86</v>
      </c>
      <c r="G50" s="62">
        <v>1780231530</v>
      </c>
      <c r="H50" s="62">
        <v>1780231530</v>
      </c>
      <c r="I50" s="70">
        <f t="shared" si="0"/>
        <v>0</v>
      </c>
    </row>
    <row r="51" spans="1:9" ht="15">
      <c r="A51" s="66">
        <v>891780111</v>
      </c>
      <c r="B51" s="67">
        <v>4853393888</v>
      </c>
      <c r="C51" s="67">
        <v>4853393888</v>
      </c>
      <c r="G51" s="70">
        <f>SUM(G4:G50)</f>
        <v>266187906239</v>
      </c>
      <c r="H51" s="70">
        <f>SUM(H4:H50)</f>
        <v>266187906239</v>
      </c>
      <c r="I51" s="70">
        <f>+G51-H51</f>
        <v>0</v>
      </c>
    </row>
    <row r="52" spans="1:3" ht="15">
      <c r="A52" s="66">
        <v>891800260</v>
      </c>
      <c r="B52" s="67">
        <v>393245961</v>
      </c>
      <c r="C52" s="67">
        <v>393245961</v>
      </c>
    </row>
    <row r="53" spans="1:3" ht="15">
      <c r="A53" s="66">
        <v>891800330</v>
      </c>
      <c r="B53" s="67">
        <v>11974134130</v>
      </c>
      <c r="C53" s="67">
        <v>11974134130</v>
      </c>
    </row>
    <row r="54" spans="1:3" ht="15">
      <c r="A54" s="66">
        <v>891900853</v>
      </c>
      <c r="B54" s="67">
        <v>237551936</v>
      </c>
      <c r="C54" s="67">
        <v>237551936</v>
      </c>
    </row>
    <row r="55" spans="1:3" ht="15">
      <c r="A55" s="66">
        <v>891902811</v>
      </c>
      <c r="B55" s="67">
        <v>222657248</v>
      </c>
      <c r="C55" s="67">
        <v>222657248</v>
      </c>
    </row>
    <row r="56" spans="1:3" ht="15">
      <c r="A56" s="66">
        <v>892000757</v>
      </c>
      <c r="B56" s="67">
        <v>2857033530</v>
      </c>
      <c r="C56" s="67">
        <v>2857033530</v>
      </c>
    </row>
    <row r="57" spans="1:3" ht="15">
      <c r="A57" s="66">
        <v>892115029</v>
      </c>
      <c r="B57" s="67">
        <v>2116376468</v>
      </c>
      <c r="C57" s="67">
        <v>2116376468</v>
      </c>
    </row>
    <row r="58" spans="1:3" ht="15">
      <c r="A58" s="66">
        <v>892200323</v>
      </c>
      <c r="B58" s="67">
        <v>1980843004</v>
      </c>
      <c r="C58" s="67">
        <v>1980843004</v>
      </c>
    </row>
    <row r="59" spans="1:3" ht="15">
      <c r="A59" s="66">
        <v>892300285</v>
      </c>
      <c r="B59" s="67">
        <v>2753307360</v>
      </c>
      <c r="C59" s="67">
        <v>2753307360</v>
      </c>
    </row>
    <row r="60" spans="1:3" ht="15">
      <c r="A60" s="66">
        <v>899999063</v>
      </c>
      <c r="B60" s="67">
        <v>63896397620</v>
      </c>
      <c r="C60" s="67">
        <v>63896397620</v>
      </c>
    </row>
    <row r="61" spans="1:3" ht="15">
      <c r="A61" s="66">
        <v>899999115</v>
      </c>
      <c r="B61" s="67"/>
      <c r="C61" s="67">
        <v>342170</v>
      </c>
    </row>
    <row r="62" spans="1:3" ht="15">
      <c r="A62" s="66">
        <v>899999124</v>
      </c>
      <c r="B62" s="67">
        <v>6310362034</v>
      </c>
      <c r="C62" s="67">
        <v>6310362034</v>
      </c>
    </row>
    <row r="63" spans="1:3" ht="15">
      <c r="A63" s="66">
        <v>899999230</v>
      </c>
      <c r="B63" s="67">
        <v>1780231530</v>
      </c>
      <c r="C63" s="67">
        <v>1780231530</v>
      </c>
    </row>
    <row r="64" spans="1:3" ht="15">
      <c r="A64" s="66">
        <v>900440459</v>
      </c>
      <c r="B64" s="67"/>
      <c r="C64" s="67">
        <v>671028</v>
      </c>
    </row>
    <row r="65" spans="1:3" ht="15">
      <c r="A65" s="66" t="s">
        <v>205</v>
      </c>
      <c r="B65" s="67">
        <v>266187906239</v>
      </c>
      <c r="C65" s="67">
        <v>266269402309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1">
      <selection activeCell="A1" sqref="A1:D109"/>
    </sheetView>
  </sheetViews>
  <sheetFormatPr defaultColWidth="11.421875" defaultRowHeight="15"/>
  <cols>
    <col min="2" max="2" width="27.421875" style="0" customWidth="1"/>
    <col min="3" max="3" width="17.8515625" style="0" bestFit="1" customWidth="1"/>
    <col min="4" max="4" width="19.28125" style="0" bestFit="1" customWidth="1"/>
  </cols>
  <sheetData>
    <row r="1" spans="1:4" ht="15">
      <c r="A1" s="8" t="s">
        <v>2</v>
      </c>
      <c r="B1" t="s">
        <v>162</v>
      </c>
      <c r="C1" t="s">
        <v>191</v>
      </c>
      <c r="D1" t="s">
        <v>203</v>
      </c>
    </row>
    <row r="2" spans="1:3" ht="15">
      <c r="A2">
        <v>800118954</v>
      </c>
      <c r="B2" s="15" t="s">
        <v>6</v>
      </c>
      <c r="C2" s="62">
        <v>6162667720</v>
      </c>
    </row>
    <row r="3" spans="1:3" ht="15">
      <c r="A3">
        <v>800124023</v>
      </c>
      <c r="B3" s="15" t="s">
        <v>8</v>
      </c>
      <c r="C3" s="62">
        <v>171714544</v>
      </c>
    </row>
    <row r="4" spans="1:3" ht="15">
      <c r="A4">
        <v>800144829</v>
      </c>
      <c r="B4" s="15" t="s">
        <v>9</v>
      </c>
      <c r="C4" s="62">
        <v>1999714638</v>
      </c>
    </row>
    <row r="5" spans="1:3" ht="15">
      <c r="A5">
        <v>800163130</v>
      </c>
      <c r="B5" s="15" t="s">
        <v>10</v>
      </c>
      <c r="C5" s="62">
        <v>1362012762</v>
      </c>
    </row>
    <row r="6" spans="1:3" ht="15">
      <c r="A6">
        <v>800225340</v>
      </c>
      <c r="B6" s="15" t="s">
        <v>12</v>
      </c>
      <c r="C6" s="62">
        <v>1189380120</v>
      </c>
    </row>
    <row r="7" spans="1:3" ht="15">
      <c r="A7">
        <v>800247940</v>
      </c>
      <c r="B7" s="15" t="s">
        <v>14</v>
      </c>
      <c r="C7" s="62">
        <v>122853105</v>
      </c>
    </row>
    <row r="8" spans="1:3" ht="15">
      <c r="A8">
        <v>835000300</v>
      </c>
      <c r="B8" s="15" t="s">
        <v>16</v>
      </c>
      <c r="C8" s="62">
        <v>1331328966</v>
      </c>
    </row>
    <row r="9" spans="1:3" ht="15">
      <c r="A9">
        <v>860512780</v>
      </c>
      <c r="B9" s="15" t="s">
        <v>18</v>
      </c>
      <c r="C9" s="62">
        <v>4115417912</v>
      </c>
    </row>
    <row r="10" spans="1:3" ht="15">
      <c r="A10">
        <v>860525148</v>
      </c>
      <c r="B10" s="15" t="s">
        <v>20</v>
      </c>
      <c r="C10" s="62">
        <v>0</v>
      </c>
    </row>
    <row r="11" spans="1:3" ht="15">
      <c r="A11">
        <v>890000432</v>
      </c>
      <c r="B11" s="15" t="s">
        <v>22</v>
      </c>
      <c r="C11" s="62">
        <v>5213961762</v>
      </c>
    </row>
    <row r="12" spans="1:3" ht="15">
      <c r="A12">
        <v>890102257</v>
      </c>
      <c r="B12" s="15" t="s">
        <v>24</v>
      </c>
      <c r="C12" s="62">
        <v>11429945516</v>
      </c>
    </row>
    <row r="13" spans="1:3" ht="15">
      <c r="A13">
        <v>890201213</v>
      </c>
      <c r="B13" s="15" t="s">
        <v>26</v>
      </c>
      <c r="C13" s="62">
        <v>11956147852</v>
      </c>
    </row>
    <row r="14" spans="1:3" ht="15">
      <c r="A14">
        <v>890399010</v>
      </c>
      <c r="B14" s="15" t="s">
        <v>28</v>
      </c>
      <c r="C14" s="62">
        <v>22565830484</v>
      </c>
    </row>
    <row r="15" spans="1:3" ht="15">
      <c r="A15">
        <v>890480123</v>
      </c>
      <c r="B15" s="15" t="s">
        <v>30</v>
      </c>
      <c r="C15" s="62">
        <v>7951739822</v>
      </c>
    </row>
    <row r="16" spans="1:3" ht="15">
      <c r="A16">
        <v>890500622</v>
      </c>
      <c r="B16" s="15" t="s">
        <v>32</v>
      </c>
      <c r="C16" s="62">
        <v>3415770078</v>
      </c>
    </row>
    <row r="17" spans="1:3" ht="15">
      <c r="A17">
        <v>890501510</v>
      </c>
      <c r="B17" s="15" t="s">
        <v>34</v>
      </c>
      <c r="C17" s="62">
        <v>3912528266</v>
      </c>
    </row>
    <row r="18" spans="1:3" ht="15">
      <c r="A18">
        <v>890680062</v>
      </c>
      <c r="B18" s="15" t="s">
        <v>36</v>
      </c>
      <c r="C18" s="62">
        <v>1334852020</v>
      </c>
    </row>
    <row r="19" spans="1:3" ht="15">
      <c r="A19">
        <v>890700640</v>
      </c>
      <c r="B19" s="15" t="s">
        <v>38</v>
      </c>
      <c r="C19" s="62">
        <v>4569319930</v>
      </c>
    </row>
    <row r="20" spans="1:3" ht="15">
      <c r="A20">
        <v>890700906</v>
      </c>
      <c r="B20" s="15" t="s">
        <v>39</v>
      </c>
      <c r="C20" s="62">
        <v>63845174</v>
      </c>
    </row>
    <row r="21" spans="1:3" ht="15">
      <c r="A21">
        <v>890801063</v>
      </c>
      <c r="B21" s="15" t="s">
        <v>41</v>
      </c>
      <c r="C21" s="62">
        <v>7446562620</v>
      </c>
    </row>
    <row r="22" spans="1:3" ht="15">
      <c r="A22">
        <v>890802678</v>
      </c>
      <c r="B22" s="15" t="s">
        <v>43</v>
      </c>
      <c r="C22" s="62">
        <v>128187289</v>
      </c>
    </row>
    <row r="23" spans="1:3" ht="15">
      <c r="A23">
        <v>890980040</v>
      </c>
      <c r="B23" s="15" t="s">
        <v>45</v>
      </c>
      <c r="C23" s="62">
        <v>30036338710</v>
      </c>
    </row>
    <row r="24" spans="1:3" ht="15">
      <c r="A24">
        <v>890980134</v>
      </c>
      <c r="B24" s="15" t="s">
        <v>46</v>
      </c>
      <c r="C24" s="62">
        <v>208672338</v>
      </c>
    </row>
    <row r="25" spans="1:3" ht="15">
      <c r="A25">
        <v>890980150</v>
      </c>
      <c r="B25" s="15" t="s">
        <v>48</v>
      </c>
      <c r="C25" s="62">
        <v>128354046</v>
      </c>
    </row>
    <row r="26" spans="1:3" ht="15">
      <c r="A26">
        <v>891080031</v>
      </c>
      <c r="B26" s="15" t="s">
        <v>50</v>
      </c>
      <c r="C26" s="62">
        <v>7492088734</v>
      </c>
    </row>
    <row r="27" spans="1:3" ht="15">
      <c r="A27">
        <v>891180084</v>
      </c>
      <c r="B27" s="15" t="s">
        <v>52</v>
      </c>
      <c r="C27" s="62">
        <v>5204401438</v>
      </c>
    </row>
    <row r="28" spans="1:3" ht="15">
      <c r="A28">
        <v>891190346</v>
      </c>
      <c r="B28" s="15" t="s">
        <v>54</v>
      </c>
      <c r="C28" s="62">
        <v>2548433764</v>
      </c>
    </row>
    <row r="29" spans="1:3" ht="15">
      <c r="A29">
        <v>891380033</v>
      </c>
      <c r="B29" s="15" t="s">
        <v>56</v>
      </c>
      <c r="C29" s="62">
        <v>0</v>
      </c>
    </row>
    <row r="30" spans="1:3" ht="15">
      <c r="A30">
        <v>891480035</v>
      </c>
      <c r="B30" s="15" t="s">
        <v>58</v>
      </c>
      <c r="C30" s="62">
        <v>8907429940</v>
      </c>
    </row>
    <row r="31" spans="1:3" ht="15">
      <c r="A31">
        <v>891500319</v>
      </c>
      <c r="B31" s="15" t="s">
        <v>60</v>
      </c>
      <c r="C31" s="62">
        <v>9988708640</v>
      </c>
    </row>
    <row r="32" spans="1:3" ht="15">
      <c r="A32">
        <v>891500759</v>
      </c>
      <c r="B32" s="15" t="s">
        <v>61</v>
      </c>
      <c r="C32" s="62">
        <v>262777234</v>
      </c>
    </row>
    <row r="33" spans="1:3" ht="15">
      <c r="A33">
        <v>891680089</v>
      </c>
      <c r="B33" s="15" t="s">
        <v>63</v>
      </c>
      <c r="C33" s="62">
        <v>4387516098</v>
      </c>
    </row>
    <row r="34" spans="1:3" ht="15">
      <c r="A34">
        <v>891701932</v>
      </c>
      <c r="B34" s="15" t="s">
        <v>65</v>
      </c>
      <c r="C34" s="62">
        <v>159276571</v>
      </c>
    </row>
    <row r="35" spans="1:3" ht="15">
      <c r="A35">
        <v>891780111</v>
      </c>
      <c r="B35" s="15" t="s">
        <v>67</v>
      </c>
      <c r="C35" s="62">
        <v>4853393888</v>
      </c>
    </row>
    <row r="36" spans="1:3" ht="15">
      <c r="A36">
        <v>891800260</v>
      </c>
      <c r="B36" s="15" t="s">
        <v>69</v>
      </c>
      <c r="C36" s="62">
        <v>393245961</v>
      </c>
    </row>
    <row r="37" spans="1:3" ht="15">
      <c r="A37">
        <v>891800330</v>
      </c>
      <c r="B37" s="15" t="s">
        <v>71</v>
      </c>
      <c r="C37" s="62">
        <v>11974134130</v>
      </c>
    </row>
    <row r="38" spans="1:3" ht="15">
      <c r="A38">
        <v>891900853</v>
      </c>
      <c r="B38" s="15" t="s">
        <v>72</v>
      </c>
      <c r="C38" s="62">
        <v>237551936</v>
      </c>
    </row>
    <row r="39" spans="1:3" ht="15">
      <c r="A39">
        <v>892000757</v>
      </c>
      <c r="B39" s="15" t="s">
        <v>74</v>
      </c>
      <c r="C39" s="62">
        <v>2857033530</v>
      </c>
    </row>
    <row r="40" spans="1:3" ht="15">
      <c r="A40">
        <v>892115029</v>
      </c>
      <c r="B40" s="15" t="s">
        <v>76</v>
      </c>
      <c r="C40" s="62">
        <v>2116376468</v>
      </c>
    </row>
    <row r="41" spans="1:3" ht="15">
      <c r="A41">
        <v>892200323</v>
      </c>
      <c r="B41" s="15" t="s">
        <v>78</v>
      </c>
      <c r="C41" s="62">
        <v>1980843004</v>
      </c>
    </row>
    <row r="42" spans="1:3" ht="15">
      <c r="A42">
        <v>892300285</v>
      </c>
      <c r="B42" s="15" t="s">
        <v>80</v>
      </c>
      <c r="C42" s="62">
        <v>2753307360</v>
      </c>
    </row>
    <row r="43" spans="1:3" ht="15">
      <c r="A43">
        <v>899999063</v>
      </c>
      <c r="B43" s="24" t="s">
        <v>82</v>
      </c>
      <c r="C43" s="62">
        <v>63896397620</v>
      </c>
    </row>
    <row r="44" spans="1:3" ht="15">
      <c r="A44">
        <v>899999124</v>
      </c>
      <c r="B44" s="15" t="s">
        <v>84</v>
      </c>
      <c r="C44" s="62">
        <v>6310362034</v>
      </c>
    </row>
    <row r="45" spans="1:3" ht="15">
      <c r="A45">
        <v>899999230</v>
      </c>
      <c r="B45" s="15" t="s">
        <v>86</v>
      </c>
      <c r="C45" s="62">
        <v>1780231530</v>
      </c>
    </row>
    <row r="46" spans="1:3" ht="15">
      <c r="A46">
        <v>802011065</v>
      </c>
      <c r="B46" s="15" t="s">
        <v>88</v>
      </c>
      <c r="C46" s="62">
        <v>167905996</v>
      </c>
    </row>
    <row r="47" spans="1:3" ht="15">
      <c r="A47">
        <v>890480054</v>
      </c>
      <c r="B47" s="15" t="s">
        <v>90</v>
      </c>
      <c r="C47" s="62">
        <v>207704043</v>
      </c>
    </row>
    <row r="48" spans="1:3" ht="15">
      <c r="A48">
        <v>890980153</v>
      </c>
      <c r="B48" s="15" t="s">
        <v>92</v>
      </c>
      <c r="C48" s="62">
        <v>494392467</v>
      </c>
    </row>
    <row r="49" spans="1:3" ht="15">
      <c r="A49">
        <v>890980112</v>
      </c>
      <c r="B49" s="28" t="s">
        <v>94</v>
      </c>
      <c r="C49" s="62">
        <v>0</v>
      </c>
    </row>
    <row r="50" spans="1:3" ht="15">
      <c r="A50">
        <v>890501578</v>
      </c>
      <c r="B50" s="32" t="s">
        <v>96</v>
      </c>
      <c r="C50" s="62">
        <v>174590931</v>
      </c>
    </row>
    <row r="51" spans="1:3" ht="15">
      <c r="A51">
        <v>891902811</v>
      </c>
      <c r="B51" s="32" t="s">
        <v>97</v>
      </c>
      <c r="C51" s="62">
        <v>222657248</v>
      </c>
    </row>
    <row r="52" spans="1:4" ht="16.5">
      <c r="A52" s="63">
        <v>899999115</v>
      </c>
      <c r="B52" s="61" t="s">
        <v>192</v>
      </c>
      <c r="D52" s="64">
        <v>342170</v>
      </c>
    </row>
    <row r="53" spans="1:4" ht="15">
      <c r="A53" s="63">
        <v>830037248</v>
      </c>
      <c r="B53" s="61" t="s">
        <v>193</v>
      </c>
      <c r="D53" s="64">
        <v>774250</v>
      </c>
    </row>
    <row r="54" spans="1:4" ht="15">
      <c r="A54" s="63">
        <v>891680089</v>
      </c>
      <c r="B54" s="61" t="s">
        <v>164</v>
      </c>
      <c r="D54" s="64">
        <v>4387516098</v>
      </c>
    </row>
    <row r="55" spans="1:4" ht="16.5">
      <c r="A55" s="63">
        <v>800144829</v>
      </c>
      <c r="B55" s="61" t="s">
        <v>165</v>
      </c>
      <c r="D55" s="64">
        <v>1999714638</v>
      </c>
    </row>
    <row r="56" spans="1:4" ht="15">
      <c r="A56" s="63">
        <v>890000432</v>
      </c>
      <c r="B56" s="61" t="s">
        <v>22</v>
      </c>
      <c r="D56" s="64">
        <v>5213961762</v>
      </c>
    </row>
    <row r="57" spans="1:4" ht="15">
      <c r="A57" s="63">
        <v>890201213</v>
      </c>
      <c r="B57" s="61" t="s">
        <v>166</v>
      </c>
      <c r="D57" s="64">
        <v>11956147852</v>
      </c>
    </row>
    <row r="58" spans="1:4" ht="15">
      <c r="A58" s="63">
        <v>890680062</v>
      </c>
      <c r="B58" s="61" t="s">
        <v>36</v>
      </c>
      <c r="D58" s="64">
        <v>1334852020</v>
      </c>
    </row>
    <row r="59" spans="1:4" ht="15">
      <c r="A59" s="63">
        <v>890700640</v>
      </c>
      <c r="B59" s="61" t="s">
        <v>38</v>
      </c>
      <c r="D59" s="64">
        <v>4569319930</v>
      </c>
    </row>
    <row r="60" spans="1:4" ht="15">
      <c r="A60" s="63">
        <v>891190346</v>
      </c>
      <c r="B60" s="61" t="s">
        <v>54</v>
      </c>
      <c r="D60" s="64">
        <v>2548433764</v>
      </c>
    </row>
    <row r="61" spans="1:4" ht="15">
      <c r="A61" s="63">
        <v>835000300</v>
      </c>
      <c r="B61" s="61" t="s">
        <v>16</v>
      </c>
      <c r="D61" s="64">
        <v>1331328966</v>
      </c>
    </row>
    <row r="62" spans="1:4" ht="15">
      <c r="A62" s="63">
        <v>800225340</v>
      </c>
      <c r="B62" s="61" t="s">
        <v>167</v>
      </c>
      <c r="D62" s="64">
        <v>1189380120</v>
      </c>
    </row>
    <row r="63" spans="1:4" ht="15">
      <c r="A63" s="63">
        <v>800118954</v>
      </c>
      <c r="B63" s="61" t="s">
        <v>6</v>
      </c>
      <c r="D63" s="64">
        <v>6162667720</v>
      </c>
    </row>
    <row r="64" spans="1:4" ht="15">
      <c r="A64" s="63">
        <v>899999063</v>
      </c>
      <c r="B64" s="61" t="s">
        <v>168</v>
      </c>
      <c r="D64" s="64">
        <v>63896397620</v>
      </c>
    </row>
    <row r="65" spans="1:4" ht="15">
      <c r="A65" s="63">
        <v>891480035</v>
      </c>
      <c r="B65" s="61" t="s">
        <v>169</v>
      </c>
      <c r="D65" s="64">
        <v>8907429940</v>
      </c>
    </row>
    <row r="66" spans="1:4" ht="15">
      <c r="A66" s="63">
        <v>892000757</v>
      </c>
      <c r="B66" s="61" t="s">
        <v>74</v>
      </c>
      <c r="D66" s="64">
        <v>2857033530</v>
      </c>
    </row>
    <row r="67" spans="1:4" ht="15">
      <c r="A67" s="63">
        <v>890102257</v>
      </c>
      <c r="B67" s="61" t="s">
        <v>24</v>
      </c>
      <c r="D67" s="64">
        <v>11429945516</v>
      </c>
    </row>
    <row r="68" spans="1:4" ht="15">
      <c r="A68" s="63">
        <v>891780111</v>
      </c>
      <c r="B68" s="61" t="s">
        <v>170</v>
      </c>
      <c r="D68" s="64">
        <v>4853393888</v>
      </c>
    </row>
    <row r="69" spans="1:4" ht="15">
      <c r="A69" s="63">
        <v>890399010</v>
      </c>
      <c r="B69" s="61" t="s">
        <v>28</v>
      </c>
      <c r="D69" s="64">
        <v>22565830484</v>
      </c>
    </row>
    <row r="70" spans="1:4" ht="15">
      <c r="A70" s="63">
        <v>890980040</v>
      </c>
      <c r="B70" s="61" t="s">
        <v>45</v>
      </c>
      <c r="D70" s="64">
        <v>30036338710</v>
      </c>
    </row>
    <row r="71" spans="1:4" ht="16.5">
      <c r="A71" s="63">
        <v>899999230</v>
      </c>
      <c r="B71" s="61" t="s">
        <v>171</v>
      </c>
      <c r="D71" s="64">
        <v>1780231530</v>
      </c>
    </row>
    <row r="72" spans="1:4" ht="16.5">
      <c r="A72" s="63">
        <v>860512780</v>
      </c>
      <c r="B72" s="61" t="s">
        <v>172</v>
      </c>
      <c r="D72" s="64">
        <v>4115417912</v>
      </c>
    </row>
    <row r="73" spans="1:4" ht="15">
      <c r="A73" s="63">
        <v>891500319</v>
      </c>
      <c r="B73" s="61" t="s">
        <v>60</v>
      </c>
      <c r="D73" s="64">
        <v>9988708640</v>
      </c>
    </row>
    <row r="74" spans="1:4" ht="15">
      <c r="A74" s="63">
        <v>890480123</v>
      </c>
      <c r="B74" s="61" t="s">
        <v>30</v>
      </c>
      <c r="D74" s="64">
        <v>7951739822</v>
      </c>
    </row>
    <row r="75" spans="1:4" ht="15">
      <c r="A75" s="63">
        <v>899999124</v>
      </c>
      <c r="B75" s="61" t="s">
        <v>173</v>
      </c>
      <c r="D75" s="64">
        <v>6310362034</v>
      </c>
    </row>
    <row r="76" spans="1:4" ht="15">
      <c r="A76" s="63">
        <v>890501510</v>
      </c>
      <c r="B76" s="61" t="s">
        <v>34</v>
      </c>
      <c r="D76" s="64">
        <v>3912528266</v>
      </c>
    </row>
    <row r="77" spans="1:4" ht="16.5">
      <c r="A77" s="63">
        <v>891800330</v>
      </c>
      <c r="B77" s="61" t="s">
        <v>174</v>
      </c>
      <c r="D77" s="64">
        <v>11974134130</v>
      </c>
    </row>
    <row r="78" spans="1:4" ht="15">
      <c r="A78" s="63">
        <v>79154384</v>
      </c>
      <c r="B78" s="61" t="s">
        <v>194</v>
      </c>
      <c r="D78" s="64">
        <v>8500500</v>
      </c>
    </row>
    <row r="79" spans="1:4" ht="15">
      <c r="A79" s="63">
        <v>16583292</v>
      </c>
      <c r="B79" s="61" t="s">
        <v>195</v>
      </c>
      <c r="D79" s="64">
        <v>10504642</v>
      </c>
    </row>
    <row r="80" spans="1:4" ht="15">
      <c r="A80" s="63">
        <v>16241270</v>
      </c>
      <c r="B80" s="61" t="s">
        <v>196</v>
      </c>
      <c r="D80" s="64">
        <v>10504642</v>
      </c>
    </row>
    <row r="81" spans="1:4" ht="15">
      <c r="A81" s="63">
        <v>19156691</v>
      </c>
      <c r="B81" s="61" t="s">
        <v>197</v>
      </c>
      <c r="D81" s="64">
        <v>10504642</v>
      </c>
    </row>
    <row r="82" spans="1:4" ht="15">
      <c r="A82" s="63">
        <v>890700906</v>
      </c>
      <c r="B82" s="61" t="s">
        <v>147</v>
      </c>
      <c r="D82" s="64">
        <v>63845174</v>
      </c>
    </row>
    <row r="83" spans="1:4" ht="15">
      <c r="A83" s="63">
        <v>891900853</v>
      </c>
      <c r="B83" s="61" t="s">
        <v>175</v>
      </c>
      <c r="D83" s="64">
        <v>237551936</v>
      </c>
    </row>
    <row r="84" spans="1:4" ht="15">
      <c r="A84" s="63">
        <v>890801063</v>
      </c>
      <c r="B84" s="61" t="s">
        <v>41</v>
      </c>
      <c r="D84" s="64">
        <v>7446562620</v>
      </c>
    </row>
    <row r="85" spans="1:4" ht="15">
      <c r="A85" s="63">
        <v>891080031</v>
      </c>
      <c r="B85" s="61" t="s">
        <v>176</v>
      </c>
      <c r="D85" s="64">
        <v>7492088734</v>
      </c>
    </row>
    <row r="86" spans="1:4" ht="15">
      <c r="A86" s="63">
        <v>892115029</v>
      </c>
      <c r="B86" s="61" t="s">
        <v>76</v>
      </c>
      <c r="D86" s="64">
        <v>2116376468</v>
      </c>
    </row>
    <row r="87" spans="1:4" ht="15">
      <c r="A87" s="63">
        <v>892200323</v>
      </c>
      <c r="B87" s="61" t="s">
        <v>78</v>
      </c>
      <c r="D87" s="64">
        <v>1980843004</v>
      </c>
    </row>
    <row r="88" spans="1:4" ht="16.5">
      <c r="A88" s="63">
        <v>890500622</v>
      </c>
      <c r="B88" s="61" t="s">
        <v>177</v>
      </c>
      <c r="D88" s="64">
        <v>3415770078</v>
      </c>
    </row>
    <row r="89" spans="1:4" ht="16.5">
      <c r="A89" s="63">
        <v>800163130</v>
      </c>
      <c r="B89" s="61" t="s">
        <v>178</v>
      </c>
      <c r="D89" s="64">
        <v>1362012762</v>
      </c>
    </row>
    <row r="90" spans="1:4" ht="15">
      <c r="A90" s="63">
        <v>892300285</v>
      </c>
      <c r="B90" s="61" t="s">
        <v>80</v>
      </c>
      <c r="D90" s="64">
        <v>2753307360</v>
      </c>
    </row>
    <row r="91" spans="1:4" ht="15">
      <c r="A91" s="63">
        <v>891180084</v>
      </c>
      <c r="B91" s="61" t="s">
        <v>179</v>
      </c>
      <c r="D91" s="64">
        <v>5204401438</v>
      </c>
    </row>
    <row r="92" spans="1:4" ht="15">
      <c r="A92" s="63">
        <v>19099020</v>
      </c>
      <c r="B92" s="61" t="s">
        <v>198</v>
      </c>
      <c r="D92" s="64">
        <v>8500500</v>
      </c>
    </row>
    <row r="93" spans="1:4" ht="15">
      <c r="A93" s="63">
        <v>24320173</v>
      </c>
      <c r="B93" s="61" t="s">
        <v>199</v>
      </c>
      <c r="D93" s="64">
        <v>11077254</v>
      </c>
    </row>
    <row r="94" spans="1:4" ht="15">
      <c r="A94" s="63">
        <v>43500246</v>
      </c>
      <c r="B94" s="61" t="s">
        <v>200</v>
      </c>
      <c r="D94" s="64">
        <v>10504642</v>
      </c>
    </row>
    <row r="95" spans="1:4" ht="15">
      <c r="A95" s="63">
        <v>860019077</v>
      </c>
      <c r="B95" s="61" t="s">
        <v>201</v>
      </c>
      <c r="D95" s="64">
        <v>9611800</v>
      </c>
    </row>
    <row r="96" spans="1:4" ht="15">
      <c r="A96" s="63">
        <v>900440459</v>
      </c>
      <c r="B96" s="61" t="s">
        <v>202</v>
      </c>
      <c r="D96" s="64">
        <v>671028</v>
      </c>
    </row>
    <row r="97" spans="1:4" ht="16.5">
      <c r="A97" s="61">
        <v>802011065</v>
      </c>
      <c r="B97" s="61" t="s">
        <v>181</v>
      </c>
      <c r="D97" s="64">
        <v>167905996</v>
      </c>
    </row>
    <row r="98" spans="1:4" ht="15">
      <c r="A98" s="61">
        <v>890480054</v>
      </c>
      <c r="B98" s="61" t="s">
        <v>90</v>
      </c>
      <c r="D98" s="64">
        <v>207704043</v>
      </c>
    </row>
    <row r="99" spans="1:4" ht="16.5">
      <c r="A99" s="61">
        <v>890501578</v>
      </c>
      <c r="B99" s="61" t="s">
        <v>182</v>
      </c>
      <c r="D99" s="64">
        <v>174590931</v>
      </c>
    </row>
    <row r="100" spans="1:4" ht="16.5">
      <c r="A100" s="61">
        <v>890802678</v>
      </c>
      <c r="B100" s="61" t="s">
        <v>183</v>
      </c>
      <c r="D100" s="64">
        <v>128187289</v>
      </c>
    </row>
    <row r="101" spans="1:4" ht="16.5">
      <c r="A101" s="61">
        <v>890980153</v>
      </c>
      <c r="B101" s="61" t="s">
        <v>184</v>
      </c>
      <c r="D101" s="64">
        <v>494392467</v>
      </c>
    </row>
    <row r="102" spans="1:4" ht="16.5">
      <c r="A102" s="61">
        <v>891701932</v>
      </c>
      <c r="B102" s="61" t="s">
        <v>185</v>
      </c>
      <c r="D102" s="64">
        <v>159276571</v>
      </c>
    </row>
    <row r="103" spans="1:4" ht="16.5">
      <c r="A103" s="61">
        <v>891902811</v>
      </c>
      <c r="B103" s="61" t="s">
        <v>186</v>
      </c>
      <c r="D103" s="64">
        <v>222657248</v>
      </c>
    </row>
    <row r="104" spans="1:4" ht="16.5">
      <c r="A104" s="61">
        <v>800124023</v>
      </c>
      <c r="B104" s="61" t="s">
        <v>187</v>
      </c>
      <c r="D104" s="64">
        <v>171714544</v>
      </c>
    </row>
    <row r="105" spans="1:4" ht="15">
      <c r="A105" s="61">
        <v>800247940</v>
      </c>
      <c r="B105" s="61" t="s">
        <v>188</v>
      </c>
      <c r="D105" s="64">
        <v>122853105</v>
      </c>
    </row>
    <row r="106" spans="1:4" ht="15">
      <c r="A106" s="61">
        <v>890980134</v>
      </c>
      <c r="B106" s="61" t="s">
        <v>46</v>
      </c>
      <c r="D106" s="64">
        <v>208672338</v>
      </c>
    </row>
    <row r="107" spans="1:4" ht="16.5">
      <c r="A107" s="61">
        <v>890980150</v>
      </c>
      <c r="B107" s="61" t="s">
        <v>189</v>
      </c>
      <c r="D107" s="64">
        <v>128354046</v>
      </c>
    </row>
    <row r="108" spans="1:4" ht="15">
      <c r="A108" s="61">
        <v>891800260</v>
      </c>
      <c r="B108" s="61" t="s">
        <v>190</v>
      </c>
      <c r="D108" s="64">
        <v>393245961</v>
      </c>
    </row>
    <row r="109" spans="1:4" ht="15">
      <c r="A109" s="61">
        <v>891500759</v>
      </c>
      <c r="B109" s="61" t="s">
        <v>61</v>
      </c>
      <c r="D109" s="64">
        <v>262777234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Diego Andrés Cortes Marquez</cp:lastModifiedBy>
  <dcterms:created xsi:type="dcterms:W3CDTF">2012-01-13T14:38:35Z</dcterms:created>
  <dcterms:modified xsi:type="dcterms:W3CDTF">2012-07-24T20:31:09Z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